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filterPrivacy="1" autoCompressPictures="0" defaultThemeVersion="166925"/>
  <xr:revisionPtr revIDLastSave="0" documentId="13_ncr:1_{D77FAE8C-77D8-A14D-A5C4-151027D3DA1E}" xr6:coauthVersionLast="46" xr6:coauthVersionMax="46" xr10:uidLastSave="{00000000-0000-0000-0000-000000000000}"/>
  <bookViews>
    <workbookView xWindow="80" yWindow="460" windowWidth="15940" windowHeight="14260" xr2:uid="{00000000-000D-0000-FFFF-FFFF00000000}"/>
  </bookViews>
  <sheets>
    <sheet name="Cover" sheetId="7" r:id="rId1"/>
    <sheet name="Index" sheetId="8" r:id="rId2"/>
    <sheet name="Input" sheetId="4" r:id="rId3"/>
    <sheet name="Peers" sheetId="1" r:id="rId4"/>
    <sheet name="Regression" sheetId="6" r:id="rId5"/>
    <sheet name="Valuation" sheetId="3" r:id="rId6"/>
  </sheets>
  <calcPr calcId="191029" calcMode="autoNoTable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3" l="1"/>
  <c r="A2" i="3"/>
  <c r="A3" i="6"/>
  <c r="A2" i="6"/>
  <c r="A3" i="1"/>
  <c r="A2" i="1"/>
  <c r="A3" i="4"/>
  <c r="A2" i="4"/>
  <c r="A3" i="8"/>
  <c r="A2" i="8"/>
  <c r="D17" i="6" l="1"/>
  <c r="B17" i="6"/>
  <c r="C19" i="4"/>
  <c r="B10" i="3" s="1"/>
  <c r="B5" i="6"/>
  <c r="E9" i="3"/>
  <c r="C9" i="3"/>
  <c r="C17" i="4"/>
  <c r="B9" i="3" s="1"/>
  <c r="C6" i="6"/>
  <c r="B8" i="3" s="1"/>
  <c r="E7" i="3"/>
  <c r="C7" i="3"/>
  <c r="B7" i="3"/>
  <c r="B6" i="3"/>
  <c r="B5" i="3"/>
  <c r="C22" i="6"/>
  <c r="Y17" i="1"/>
  <c r="Y21" i="1" s="1"/>
  <c r="B9" i="1"/>
  <c r="B10" i="1" s="1"/>
  <c r="D6" i="6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Y14" i="1"/>
  <c r="Z14" i="1"/>
  <c r="AA14" i="1"/>
  <c r="AB14" i="1"/>
  <c r="AC14" i="1"/>
  <c r="AD14" i="1"/>
  <c r="AE14" i="1"/>
  <c r="AF14" i="1"/>
  <c r="AG14" i="1"/>
  <c r="AH14" i="1"/>
  <c r="AI14" i="1"/>
  <c r="AI18" i="1" s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K18" i="1" s="1"/>
  <c r="BL15" i="1"/>
  <c r="BM15" i="1"/>
  <c r="BN15" i="1"/>
  <c r="BO15" i="1"/>
  <c r="BP15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W22" i="1" s="1"/>
  <c r="AX16" i="1"/>
  <c r="AY16" i="1"/>
  <c r="AZ16" i="1"/>
  <c r="BA16" i="1"/>
  <c r="BA22" i="1" s="1"/>
  <c r="BB16" i="1"/>
  <c r="BC16" i="1"/>
  <c r="BD16" i="1"/>
  <c r="BE16" i="1"/>
  <c r="BE22" i="1" s="1"/>
  <c r="BF16" i="1"/>
  <c r="BG16" i="1"/>
  <c r="BH16" i="1"/>
  <c r="BI16" i="1"/>
  <c r="BI22" i="1" s="1"/>
  <c r="BJ16" i="1"/>
  <c r="BK16" i="1"/>
  <c r="BL16" i="1"/>
  <c r="BM16" i="1"/>
  <c r="BN16" i="1"/>
  <c r="BO16" i="1"/>
  <c r="BP16" i="1"/>
  <c r="Z17" i="1"/>
  <c r="AA17" i="1"/>
  <c r="AA22" i="1" s="1"/>
  <c r="AB17" i="1"/>
  <c r="AB21" i="1" s="1"/>
  <c r="AC17" i="1"/>
  <c r="AD17" i="1"/>
  <c r="AE17" i="1"/>
  <c r="AE19" i="1" s="1"/>
  <c r="AF17" i="1"/>
  <c r="AG17" i="1"/>
  <c r="AH17" i="1"/>
  <c r="AI17" i="1"/>
  <c r="AI22" i="1" s="1"/>
  <c r="AJ17" i="1"/>
  <c r="AJ19" i="1" s="1"/>
  <c r="AK17" i="1"/>
  <c r="AL17" i="1"/>
  <c r="AM17" i="1"/>
  <c r="AM18" i="1" s="1"/>
  <c r="AN17" i="1"/>
  <c r="AN18" i="1" s="1"/>
  <c r="AO17" i="1"/>
  <c r="AP17" i="1"/>
  <c r="AQ17" i="1"/>
  <c r="AQ21" i="1" s="1"/>
  <c r="AR17" i="1"/>
  <c r="AR21" i="1" s="1"/>
  <c r="AS17" i="1"/>
  <c r="AT17" i="1"/>
  <c r="AU17" i="1"/>
  <c r="AU22" i="1" s="1"/>
  <c r="AV17" i="1"/>
  <c r="AV19" i="1" s="1"/>
  <c r="AW17" i="1"/>
  <c r="AX17" i="1"/>
  <c r="AY17" i="1"/>
  <c r="AY18" i="1" s="1"/>
  <c r="AZ17" i="1"/>
  <c r="AZ18" i="1" s="1"/>
  <c r="BA17" i="1"/>
  <c r="BB17" i="1"/>
  <c r="BC17" i="1"/>
  <c r="BD17" i="1"/>
  <c r="BE17" i="1"/>
  <c r="BF17" i="1"/>
  <c r="BG17" i="1"/>
  <c r="BG19" i="1" s="1"/>
  <c r="BH17" i="1"/>
  <c r="BH19" i="1" s="1"/>
  <c r="BI17" i="1"/>
  <c r="BJ17" i="1"/>
  <c r="BK17" i="1"/>
  <c r="BK22" i="1" s="1"/>
  <c r="BL17" i="1"/>
  <c r="BM17" i="1"/>
  <c r="BN17" i="1"/>
  <c r="BO17" i="1"/>
  <c r="BO18" i="1" s="1"/>
  <c r="BP17" i="1"/>
  <c r="BP18" i="1" s="1"/>
  <c r="BD18" i="1"/>
  <c r="BH18" i="1"/>
  <c r="AB19" i="1"/>
  <c r="AF19" i="1"/>
  <c r="AN19" i="1"/>
  <c r="AQ19" i="1"/>
  <c r="AR19" i="1"/>
  <c r="BD19" i="1"/>
  <c r="BK19" i="1"/>
  <c r="BL19" i="1"/>
  <c r="AB22" i="1"/>
  <c r="AF22" i="1"/>
  <c r="AN22" i="1"/>
  <c r="AQ22" i="1"/>
  <c r="AR22" i="1"/>
  <c r="AZ22" i="1"/>
  <c r="BC22" i="1"/>
  <c r="BD22" i="1"/>
  <c r="BL22" i="1"/>
  <c r="BM22" i="1"/>
  <c r="BP22" i="1"/>
  <c r="AC21" i="1"/>
  <c r="AF21" i="1"/>
  <c r="AG21" i="1"/>
  <c r="AK21" i="1"/>
  <c r="AN21" i="1"/>
  <c r="AO21" i="1"/>
  <c r="AS21" i="1"/>
  <c r="AV21" i="1"/>
  <c r="AW21" i="1"/>
  <c r="BA21" i="1"/>
  <c r="BD21" i="1"/>
  <c r="BE21" i="1"/>
  <c r="BI21" i="1"/>
  <c r="BL21" i="1"/>
  <c r="BM21" i="1"/>
  <c r="B7" i="6"/>
  <c r="E6" i="1"/>
  <c r="D6" i="1"/>
  <c r="B11" i="1" l="1"/>
  <c r="B9" i="6"/>
  <c r="B8" i="6"/>
  <c r="C8" i="6" s="1"/>
  <c r="BF18" i="1"/>
  <c r="AP21" i="1"/>
  <c r="AH21" i="1"/>
  <c r="AU18" i="1"/>
  <c r="BJ21" i="1"/>
  <c r="BB21" i="1"/>
  <c r="AX21" i="1"/>
  <c r="AL21" i="1"/>
  <c r="AD19" i="1"/>
  <c r="BP21" i="1"/>
  <c r="BH21" i="1"/>
  <c r="AZ21" i="1"/>
  <c r="AJ21" i="1"/>
  <c r="BH22" i="1"/>
  <c r="BH20" i="1" s="1"/>
  <c r="AV22" i="1"/>
  <c r="AJ22" i="1"/>
  <c r="AJ20" i="1" s="1"/>
  <c r="BP19" i="1"/>
  <c r="BN22" i="1"/>
  <c r="AT21" i="1"/>
  <c r="AI19" i="1"/>
  <c r="BG18" i="1"/>
  <c r="AN20" i="1"/>
  <c r="AE22" i="1"/>
  <c r="BJ19" i="1"/>
  <c r="BC19" i="1"/>
  <c r="AU19" i="1"/>
  <c r="AA19" i="1"/>
  <c r="BC18" i="1"/>
  <c r="BC20" i="1" s="1"/>
  <c r="AP18" i="1"/>
  <c r="AE18" i="1"/>
  <c r="BN18" i="1"/>
  <c r="BN20" i="1" s="1"/>
  <c r="BJ18" i="1"/>
  <c r="BF19" i="1"/>
  <c r="BB18" i="1"/>
  <c r="AX18" i="1"/>
  <c r="AT22" i="1"/>
  <c r="AP19" i="1"/>
  <c r="AL18" i="1"/>
  <c r="AH22" i="1"/>
  <c r="AD18" i="1"/>
  <c r="Z19" i="1"/>
  <c r="BK20" i="1"/>
  <c r="BG22" i="1"/>
  <c r="BG20" i="1" s="1"/>
  <c r="AU20" i="1"/>
  <c r="AI20" i="1"/>
  <c r="BO21" i="1"/>
  <c r="BK21" i="1"/>
  <c r="BG21" i="1"/>
  <c r="BC21" i="1"/>
  <c r="AY21" i="1"/>
  <c r="AU21" i="1"/>
  <c r="AM21" i="1"/>
  <c r="AI21" i="1"/>
  <c r="AE21" i="1"/>
  <c r="AA21" i="1"/>
  <c r="BO22" i="1"/>
  <c r="BO20" i="1" s="1"/>
  <c r="BD20" i="1"/>
  <c r="BO19" i="1"/>
  <c r="AZ19" i="1"/>
  <c r="AT19" i="1"/>
  <c r="AM19" i="1"/>
  <c r="AA18" i="1"/>
  <c r="AA20" i="1" s="1"/>
  <c r="BL18" i="1"/>
  <c r="BL20" i="1" s="1"/>
  <c r="AV18" i="1"/>
  <c r="AR18" i="1"/>
  <c r="AJ18" i="1"/>
  <c r="AF18" i="1"/>
  <c r="BN21" i="1"/>
  <c r="BF21" i="1"/>
  <c r="AD21" i="1"/>
  <c r="AY22" i="1"/>
  <c r="AY20" i="1" s="1"/>
  <c r="AM22" i="1"/>
  <c r="AM20" i="1" s="1"/>
  <c r="AY19" i="1"/>
  <c r="AQ18" i="1"/>
  <c r="AQ20" i="1" s="1"/>
  <c r="B12" i="1"/>
  <c r="B13" i="1" s="1"/>
  <c r="B10" i="6"/>
  <c r="C10" i="6" s="1"/>
  <c r="AS22" i="1"/>
  <c r="AO22" i="1"/>
  <c r="AK22" i="1"/>
  <c r="AK20" i="1" s="1"/>
  <c r="AG22" i="1"/>
  <c r="AC22" i="1"/>
  <c r="Y22" i="1"/>
  <c r="BM19" i="1"/>
  <c r="BI19" i="1"/>
  <c r="BE19" i="1"/>
  <c r="BA19" i="1"/>
  <c r="AW19" i="1"/>
  <c r="AS19" i="1"/>
  <c r="AO19" i="1"/>
  <c r="AK19" i="1"/>
  <c r="AG19" i="1"/>
  <c r="AC19" i="1"/>
  <c r="Y19" i="1"/>
  <c r="BM18" i="1"/>
  <c r="BM20" i="1" s="1"/>
  <c r="BI18" i="1"/>
  <c r="BI20" i="1" s="1"/>
  <c r="BE18" i="1"/>
  <c r="BA18" i="1"/>
  <c r="AW18" i="1"/>
  <c r="AW20" i="1" s="1"/>
  <c r="AS18" i="1"/>
  <c r="AS20" i="1" s="1"/>
  <c r="AO18" i="1"/>
  <c r="AK18" i="1"/>
  <c r="AG18" i="1"/>
  <c r="AG20" i="1" s="1"/>
  <c r="AC18" i="1"/>
  <c r="Y18" i="1"/>
  <c r="BP20" i="1"/>
  <c r="BJ22" i="1"/>
  <c r="BJ20" i="1" s="1"/>
  <c r="BN19" i="1"/>
  <c r="AX19" i="1"/>
  <c r="AH19" i="1"/>
  <c r="AT18" i="1"/>
  <c r="AT20" i="1" s="1"/>
  <c r="AH18" i="1"/>
  <c r="AH20" i="1" s="1"/>
  <c r="Z18" i="1"/>
  <c r="AF20" i="1"/>
  <c r="AB18" i="1"/>
  <c r="AB20" i="1" s="1"/>
  <c r="BF22" i="1"/>
  <c r="BF20" i="1" s="1"/>
  <c r="BB22" i="1"/>
  <c r="AX22" i="1"/>
  <c r="AX20" i="1" s="1"/>
  <c r="AP22" i="1"/>
  <c r="AP20" i="1" s="1"/>
  <c r="AL22" i="1"/>
  <c r="AL20" i="1" s="1"/>
  <c r="AD22" i="1"/>
  <c r="AD20" i="1" s="1"/>
  <c r="Z22" i="1"/>
  <c r="BB19" i="1"/>
  <c r="AL19" i="1"/>
  <c r="Z21" i="1"/>
  <c r="AZ20" i="1"/>
  <c r="AV20" i="1"/>
  <c r="AR20" i="1"/>
  <c r="B6" i="6"/>
  <c r="D9" i="6"/>
  <c r="D7" i="6"/>
  <c r="AC20" i="1"/>
  <c r="BE20" i="1"/>
  <c r="BA20" i="1"/>
  <c r="Y20" i="1"/>
  <c r="C9" i="6"/>
  <c r="C7" i="6"/>
  <c r="C21" i="6"/>
  <c r="D10" i="6" l="1"/>
  <c r="D8" i="6"/>
  <c r="AO20" i="1"/>
  <c r="B11" i="6"/>
  <c r="C11" i="6" s="1"/>
  <c r="Z20" i="1"/>
  <c r="AE20" i="1"/>
  <c r="BB20" i="1"/>
  <c r="B12" i="6"/>
  <c r="B14" i="1"/>
  <c r="D11" i="6"/>
  <c r="D12" i="6" l="1"/>
  <c r="C12" i="6"/>
  <c r="B13" i="6"/>
  <c r="B15" i="1"/>
  <c r="B16" i="1" l="1"/>
  <c r="B14" i="6"/>
  <c r="D13" i="6"/>
  <c r="C13" i="6"/>
  <c r="C14" i="6" l="1"/>
  <c r="D14" i="6"/>
  <c r="B17" i="1"/>
  <c r="B16" i="6" s="1"/>
  <c r="B15" i="6"/>
  <c r="D16" i="6" l="1"/>
  <c r="C16" i="6"/>
  <c r="D15" i="6"/>
  <c r="C15" i="6"/>
  <c r="C24" i="6" l="1"/>
  <c r="C23" i="6"/>
  <c r="D8" i="3" s="1"/>
  <c r="C25" i="6"/>
  <c r="C8" i="3" l="1"/>
  <c r="C10" i="3" s="1"/>
  <c r="C17" i="6"/>
  <c r="D10" i="3"/>
  <c r="E8" i="3"/>
  <c r="E10" i="3" s="1"/>
</calcChain>
</file>

<file path=xl/sharedStrings.xml><?xml version="1.0" encoding="utf-8"?>
<sst xmlns="http://schemas.openxmlformats.org/spreadsheetml/2006/main" count="145" uniqueCount="109">
  <si>
    <t>Country</t>
  </si>
  <si>
    <t>Revenue</t>
  </si>
  <si>
    <t>EBITDA</t>
  </si>
  <si>
    <t>Book value</t>
  </si>
  <si>
    <t>Currency and units</t>
  </si>
  <si>
    <t>Min</t>
  </si>
  <si>
    <t>Average</t>
  </si>
  <si>
    <t>Average without extremes</t>
  </si>
  <si>
    <t>Median</t>
  </si>
  <si>
    <t>Max</t>
  </si>
  <si>
    <t>Low</t>
  </si>
  <si>
    <t>High</t>
  </si>
  <si>
    <t>General inputs</t>
  </si>
  <si>
    <t>Name</t>
  </si>
  <si>
    <t>&lt;&lt; update manually</t>
  </si>
  <si>
    <t>USDm</t>
  </si>
  <si>
    <t>Name of company</t>
  </si>
  <si>
    <t>&lt;&lt; select from list</t>
  </si>
  <si>
    <t>Selected multiple</t>
  </si>
  <si>
    <t>Mid</t>
  </si>
  <si>
    <t>Notes</t>
  </si>
  <si>
    <t>Comparable companies analysis</t>
  </si>
  <si>
    <t>Company</t>
  </si>
  <si>
    <t>Revenue growth</t>
  </si>
  <si>
    <t>EBITDA margin</t>
  </si>
  <si>
    <t>Profit margin</t>
  </si>
  <si>
    <t>Net profit</t>
  </si>
  <si>
    <t>LTM EV/Revenue</t>
  </si>
  <si>
    <t>LFY+1 EV/Revenue</t>
  </si>
  <si>
    <t>LFY+2 EV/Revenue</t>
  </si>
  <si>
    <t>LFY+3 EV/Revenue</t>
  </si>
  <si>
    <t>LTM EV/EBITDA</t>
  </si>
  <si>
    <t>LFY+1 EV/EBITDA</t>
  </si>
  <si>
    <t>LFY+2 EV/EBITDA</t>
  </si>
  <si>
    <t>LFY+3 EV/EBITDA</t>
  </si>
  <si>
    <t>LTM Revenue</t>
  </si>
  <si>
    <t>LFY+1 Revenue</t>
  </si>
  <si>
    <t>LFY+2 Revenue</t>
  </si>
  <si>
    <t>LFY+3 Revenue</t>
  </si>
  <si>
    <t>LTM EBITDA</t>
  </si>
  <si>
    <t>LFY+1 EBITDA</t>
  </si>
  <si>
    <t>LFY+2 EBITDA</t>
  </si>
  <si>
    <t>LFY+3 EBITDA</t>
  </si>
  <si>
    <t>EV/Revenue</t>
  </si>
  <si>
    <t>y</t>
  </si>
  <si>
    <t>EBITDA growth</t>
  </si>
  <si>
    <t>Return on Equity</t>
  </si>
  <si>
    <t>Earnings growth</t>
  </si>
  <si>
    <t>P/Revenue</t>
  </si>
  <si>
    <t>EV/EBITDA</t>
  </si>
  <si>
    <t>P/E</t>
  </si>
  <si>
    <t>P/BV</t>
  </si>
  <si>
    <t>Beta</t>
  </si>
  <si>
    <t>Alpha</t>
  </si>
  <si>
    <t>R-squared</t>
  </si>
  <si>
    <t>x</t>
  </si>
  <si>
    <t>Enterprise Value</t>
  </si>
  <si>
    <t>LTM P/BV</t>
  </si>
  <si>
    <t>LTM Book value</t>
  </si>
  <si>
    <t>Update manually with subject company data</t>
  </si>
  <si>
    <t>LTM P/Revenue</t>
  </si>
  <si>
    <t>LFY+1 P/Revenue</t>
  </si>
  <si>
    <t>LFY+2 P/Revenue</t>
  </si>
  <si>
    <t>LFY+3 P/Revenue</t>
  </si>
  <si>
    <t>LTM P/E</t>
  </si>
  <si>
    <t>LFY+1 P/E</t>
  </si>
  <si>
    <t>LFY+2 P/E</t>
  </si>
  <si>
    <t>LFY+3 P/E</t>
  </si>
  <si>
    <t>LFY+1 P/BV</t>
  </si>
  <si>
    <t>LFY+2 P/BV</t>
  </si>
  <si>
    <t>LFY+3 P/BV</t>
  </si>
  <si>
    <t>LFY+2 Net profit</t>
  </si>
  <si>
    <t>LFY+1 Net profit</t>
  </si>
  <si>
    <t>LTM Net profit</t>
  </si>
  <si>
    <t>LFY+3 Net profit</t>
  </si>
  <si>
    <t>LFY+1 Book value</t>
  </si>
  <si>
    <t>LFY+2 Book value</t>
  </si>
  <si>
    <t>LFY+3 Book value</t>
  </si>
  <si>
    <t>Subject company metric</t>
  </si>
  <si>
    <t>Resulting value</t>
  </si>
  <si>
    <t>Equity value</t>
  </si>
  <si>
    <t>Implied multiple range</t>
  </si>
  <si>
    <t>Selected multiple (x-axis)</t>
  </si>
  <si>
    <t>Selected metric (y-axis)</t>
  </si>
  <si>
    <t>LTM Revenue growth</t>
  </si>
  <si>
    <t>United Kingdom</t>
  </si>
  <si>
    <t>Italy</t>
  </si>
  <si>
    <t>France</t>
  </si>
  <si>
    <t>Germany</t>
  </si>
  <si>
    <t>Greece</t>
  </si>
  <si>
    <t>Austria</t>
  </si>
  <si>
    <t>Spain</t>
  </si>
  <si>
    <t>Portugal</t>
  </si>
  <si>
    <t>Switzerland</t>
  </si>
  <si>
    <t>Belgium</t>
  </si>
  <si>
    <t>Template instructions</t>
  </si>
  <si>
    <t>Cell color</t>
  </si>
  <si>
    <t>&lt;&lt; populate manually</t>
  </si>
  <si>
    <t>Equation and R-squared</t>
  </si>
  <si>
    <t>Excel template</t>
  </si>
  <si>
    <t>March 2021</t>
  </si>
  <si>
    <t>Index</t>
  </si>
  <si>
    <t>Tab name</t>
  </si>
  <si>
    <t>Input</t>
  </si>
  <si>
    <t>Link</t>
  </si>
  <si>
    <t>Peers</t>
  </si>
  <si>
    <t>Valuation</t>
  </si>
  <si>
    <t>Regression analysis and valuation</t>
  </si>
  <si>
    <t>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</si>
</sst>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0.0\x"/>
    <numFmt numFmtId="166" formatCode="0.0%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,##0.0\x"/>
    <numFmt numFmtId="171" formatCode="#,##0.0"/>
    <numFmt numFmtId="172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indexed="8"/>
      <name val="Verdana"/>
      <family val="2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8"/>
      <color rgb="FFC00000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Verdana"/>
      <family val="2"/>
    </font>
    <font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338D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 applyAlignment="0"/>
    <xf numFmtId="0" fontId="6" fillId="0" borderId="0" applyAlignment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174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3" applyFont="1"/>
    <xf numFmtId="0" fontId="8" fillId="0" borderId="0" xfId="3" applyFont="1"/>
    <xf numFmtId="0" fontId="12" fillId="0" borderId="0" xfId="0" applyFont="1"/>
    <xf numFmtId="0" fontId="9" fillId="4" borderId="7" xfId="3" applyFont="1" applyFill="1" applyBorder="1" applyAlignment="1">
      <alignment horizontal="left" vertical="center"/>
    </xf>
    <xf numFmtId="0" fontId="9" fillId="4" borderId="2" xfId="3" applyFont="1" applyFill="1" applyBorder="1" applyAlignment="1">
      <alignment horizontal="left" vertical="center"/>
    </xf>
    <xf numFmtId="0" fontId="9" fillId="4" borderId="2" xfId="3" applyFont="1" applyFill="1" applyBorder="1" applyAlignment="1">
      <alignment horizontal="left" vertical="center" wrapText="1"/>
    </xf>
    <xf numFmtId="0" fontId="9" fillId="4" borderId="3" xfId="3" applyFont="1" applyFill="1" applyBorder="1" applyAlignment="1">
      <alignment horizontal="left" vertical="center"/>
    </xf>
    <xf numFmtId="0" fontId="7" fillId="3" borderId="0" xfId="3" applyFont="1" applyFill="1" applyBorder="1" applyAlignment="1">
      <alignment horizontal="left" vertical="center" wrapText="1"/>
    </xf>
    <xf numFmtId="0" fontId="7" fillId="3" borderId="14" xfId="3" applyFont="1" applyFill="1" applyBorder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/>
    </xf>
    <xf numFmtId="0" fontId="10" fillId="0" borderId="3" xfId="3" applyFont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3" applyFont="1" applyBorder="1" applyAlignment="1">
      <alignment horizontal="left" vertical="center" wrapText="1"/>
    </xf>
    <xf numFmtId="0" fontId="16" fillId="0" borderId="0" xfId="0" applyFont="1"/>
    <xf numFmtId="0" fontId="7" fillId="0" borderId="11" xfId="3" applyFont="1" applyBorder="1" applyAlignment="1">
      <alignment horizontal="left" vertical="center"/>
    </xf>
    <xf numFmtId="166" fontId="7" fillId="0" borderId="12" xfId="57" applyNumberFormat="1" applyFont="1" applyBorder="1" applyAlignment="1">
      <alignment horizontal="right" vertical="center" wrapText="1"/>
    </xf>
    <xf numFmtId="0" fontId="7" fillId="3" borderId="11" xfId="3" applyFont="1" applyFill="1" applyBorder="1" applyAlignment="1">
      <alignment horizontal="left" vertical="center"/>
    </xf>
    <xf numFmtId="0" fontId="7" fillId="3" borderId="13" xfId="3" applyFont="1" applyFill="1" applyBorder="1" applyAlignment="1">
      <alignment horizontal="left" vertical="center"/>
    </xf>
    <xf numFmtId="166" fontId="7" fillId="0" borderId="9" xfId="57" applyNumberFormat="1" applyFont="1" applyBorder="1" applyAlignment="1">
      <alignment horizontal="right" vertical="center" wrapText="1"/>
    </xf>
    <xf numFmtId="166" fontId="7" fillId="0" borderId="10" xfId="57" applyNumberFormat="1" applyFont="1" applyBorder="1" applyAlignment="1">
      <alignment horizontal="right" vertical="center" wrapText="1"/>
    </xf>
    <xf numFmtId="165" fontId="7" fillId="0" borderId="9" xfId="57" applyNumberFormat="1" applyFont="1" applyBorder="1" applyAlignment="1">
      <alignment horizontal="right" vertical="center" wrapText="1"/>
    </xf>
    <xf numFmtId="165" fontId="7" fillId="0" borderId="10" xfId="57" applyNumberFormat="1" applyFont="1" applyBorder="1" applyAlignment="1">
      <alignment horizontal="right" vertical="center" wrapText="1"/>
    </xf>
    <xf numFmtId="0" fontId="7" fillId="0" borderId="8" xfId="57" applyNumberFormat="1" applyFont="1" applyBorder="1" applyAlignment="1">
      <alignment horizontal="right" vertical="center" wrapText="1"/>
    </xf>
    <xf numFmtId="0" fontId="16" fillId="0" borderId="16" xfId="0" applyFont="1" applyBorder="1"/>
    <xf numFmtId="0" fontId="16" fillId="0" borderId="17" xfId="0" applyFont="1" applyBorder="1"/>
    <xf numFmtId="166" fontId="16" fillId="0" borderId="16" xfId="57" applyNumberFormat="1" applyFont="1" applyBorder="1" applyAlignment="1">
      <alignment horizontal="right"/>
    </xf>
    <xf numFmtId="166" fontId="16" fillId="0" borderId="17" xfId="57" applyNumberFormat="1" applyFont="1" applyBorder="1" applyAlignment="1">
      <alignment horizontal="right"/>
    </xf>
    <xf numFmtId="166" fontId="16" fillId="0" borderId="18" xfId="57" applyNumberFormat="1" applyFont="1" applyBorder="1" applyAlignment="1">
      <alignment horizontal="right"/>
    </xf>
    <xf numFmtId="165" fontId="16" fillId="0" borderId="16" xfId="57" applyNumberFormat="1" applyFont="1" applyBorder="1" applyAlignment="1">
      <alignment horizontal="right"/>
    </xf>
    <xf numFmtId="165" fontId="16" fillId="0" borderId="17" xfId="57" applyNumberFormat="1" applyFont="1" applyBorder="1" applyAlignment="1">
      <alignment horizontal="right"/>
    </xf>
    <xf numFmtId="165" fontId="16" fillId="0" borderId="18" xfId="57" applyNumberFormat="1" applyFont="1" applyBorder="1" applyAlignment="1">
      <alignment horizontal="right"/>
    </xf>
    <xf numFmtId="0" fontId="16" fillId="0" borderId="11" xfId="0" applyFont="1" applyBorder="1"/>
    <xf numFmtId="0" fontId="16" fillId="0" borderId="0" xfId="0" applyFont="1" applyBorder="1"/>
    <xf numFmtId="166" fontId="16" fillId="0" borderId="11" xfId="57" applyNumberFormat="1" applyFont="1" applyBorder="1" applyAlignment="1">
      <alignment horizontal="right"/>
    </xf>
    <xf numFmtId="166" fontId="16" fillId="0" borderId="0" xfId="57" applyNumberFormat="1" applyFont="1" applyBorder="1" applyAlignment="1">
      <alignment horizontal="right"/>
    </xf>
    <xf numFmtId="166" fontId="16" fillId="0" borderId="12" xfId="57" applyNumberFormat="1" applyFont="1" applyBorder="1" applyAlignment="1">
      <alignment horizontal="right"/>
    </xf>
    <xf numFmtId="165" fontId="16" fillId="0" borderId="11" xfId="57" applyNumberFormat="1" applyFont="1" applyBorder="1" applyAlignment="1">
      <alignment horizontal="right"/>
    </xf>
    <xf numFmtId="165" fontId="16" fillId="0" borderId="0" xfId="57" applyNumberFormat="1" applyFont="1" applyBorder="1" applyAlignment="1">
      <alignment horizontal="right"/>
    </xf>
    <xf numFmtId="165" fontId="16" fillId="0" borderId="12" xfId="57" applyNumberFormat="1" applyFont="1" applyBorder="1" applyAlignment="1">
      <alignment horizontal="right"/>
    </xf>
    <xf numFmtId="0" fontId="10" fillId="0" borderId="11" xfId="0" applyFont="1" applyBorder="1"/>
    <xf numFmtId="0" fontId="16" fillId="0" borderId="13" xfId="0" applyFont="1" applyBorder="1"/>
    <xf numFmtId="0" fontId="16" fillId="0" borderId="14" xfId="0" applyFont="1" applyBorder="1"/>
    <xf numFmtId="166" fontId="16" fillId="0" borderId="13" xfId="57" applyNumberFormat="1" applyFont="1" applyBorder="1" applyAlignment="1">
      <alignment horizontal="right"/>
    </xf>
    <xf numFmtId="166" fontId="16" fillId="0" borderId="14" xfId="57" applyNumberFormat="1" applyFont="1" applyBorder="1" applyAlignment="1">
      <alignment horizontal="right"/>
    </xf>
    <xf numFmtId="166" fontId="16" fillId="0" borderId="15" xfId="57" applyNumberFormat="1" applyFont="1" applyBorder="1" applyAlignment="1">
      <alignment horizontal="right"/>
    </xf>
    <xf numFmtId="165" fontId="16" fillId="0" borderId="13" xfId="57" applyNumberFormat="1" applyFont="1" applyBorder="1" applyAlignment="1">
      <alignment horizontal="right"/>
    </xf>
    <xf numFmtId="165" fontId="16" fillId="0" borderId="14" xfId="57" applyNumberFormat="1" applyFont="1" applyBorder="1" applyAlignment="1">
      <alignment horizontal="right"/>
    </xf>
    <xf numFmtId="165" fontId="16" fillId="0" borderId="15" xfId="57" applyNumberFormat="1" applyFont="1" applyBorder="1" applyAlignment="1">
      <alignment horizontal="right"/>
    </xf>
    <xf numFmtId="166" fontId="10" fillId="0" borderId="11" xfId="57" applyNumberFormat="1" applyFont="1" applyBorder="1" applyAlignment="1">
      <alignment horizontal="right"/>
    </xf>
    <xf numFmtId="166" fontId="10" fillId="0" borderId="0" xfId="57" applyNumberFormat="1" applyFont="1" applyBorder="1" applyAlignment="1">
      <alignment horizontal="right"/>
    </xf>
    <xf numFmtId="166" fontId="10" fillId="0" borderId="12" xfId="57" applyNumberFormat="1" applyFont="1" applyBorder="1" applyAlignment="1">
      <alignment horizontal="right"/>
    </xf>
    <xf numFmtId="165" fontId="10" fillId="0" borderId="11" xfId="57" applyNumberFormat="1" applyFont="1" applyBorder="1" applyAlignment="1">
      <alignment horizontal="right"/>
    </xf>
    <xf numFmtId="165" fontId="10" fillId="0" borderId="0" xfId="57" applyNumberFormat="1" applyFont="1" applyBorder="1" applyAlignment="1">
      <alignment horizontal="right"/>
    </xf>
    <xf numFmtId="165" fontId="10" fillId="0" borderId="12" xfId="57" applyNumberFormat="1" applyFont="1" applyBorder="1" applyAlignment="1">
      <alignment horizontal="right"/>
    </xf>
    <xf numFmtId="0" fontId="7" fillId="0" borderId="0" xfId="3" applyFont="1" applyAlignment="1">
      <alignment horizontal="center" vertical="top" wrapText="1"/>
    </xf>
    <xf numFmtId="0" fontId="10" fillId="0" borderId="8" xfId="6" applyFont="1" applyFill="1" applyBorder="1" applyAlignment="1">
      <alignment horizontal="centerContinuous" vertical="center" wrapText="1"/>
    </xf>
    <xf numFmtId="0" fontId="10" fillId="0" borderId="9" xfId="3" applyFont="1" applyBorder="1" applyAlignment="1">
      <alignment horizontal="centerContinuous" vertical="center" wrapText="1"/>
    </xf>
    <xf numFmtId="0" fontId="10" fillId="0" borderId="9" xfId="6" applyFont="1" applyFill="1" applyBorder="1" applyAlignment="1">
      <alignment horizontal="centerContinuous" vertical="center" wrapText="1"/>
    </xf>
    <xf numFmtId="0" fontId="10" fillId="0" borderId="10" xfId="6" applyFont="1" applyFill="1" applyBorder="1" applyAlignment="1">
      <alignment horizontal="centerContinuous" vertical="center" wrapText="1"/>
    </xf>
    <xf numFmtId="0" fontId="10" fillId="0" borderId="19" xfId="6" applyFont="1" applyFill="1" applyBorder="1" applyAlignment="1">
      <alignment horizontal="center" vertical="top" wrapText="1"/>
    </xf>
    <xf numFmtId="0" fontId="10" fillId="0" borderId="20" xfId="3" applyFont="1" applyBorder="1" applyAlignment="1">
      <alignment horizontal="center" vertical="top" wrapText="1"/>
    </xf>
    <xf numFmtId="0" fontId="10" fillId="0" borderId="21" xfId="3" applyFont="1" applyBorder="1" applyAlignment="1">
      <alignment horizontal="center" vertical="top" wrapText="1"/>
    </xf>
    <xf numFmtId="165" fontId="7" fillId="0" borderId="8" xfId="57" applyNumberFormat="1" applyFont="1" applyBorder="1" applyAlignment="1">
      <alignment horizontal="right" vertical="center" wrapText="1"/>
    </xf>
    <xf numFmtId="167" fontId="11" fillId="3" borderId="11" xfId="57" applyNumberFormat="1" applyFont="1" applyFill="1" applyBorder="1" applyAlignment="1">
      <alignment horizontal="right" vertical="center" wrapText="1"/>
    </xf>
    <xf numFmtId="167" fontId="7" fillId="3" borderId="0" xfId="57" applyNumberFormat="1" applyFont="1" applyFill="1" applyBorder="1" applyAlignment="1">
      <alignment horizontal="right" vertical="center" wrapText="1"/>
    </xf>
    <xf numFmtId="167" fontId="7" fillId="3" borderId="12" xfId="57" applyNumberFormat="1" applyFont="1" applyFill="1" applyBorder="1" applyAlignment="1">
      <alignment horizontal="right" vertical="center" wrapText="1"/>
    </xf>
    <xf numFmtId="167" fontId="11" fillId="3" borderId="13" xfId="57" applyNumberFormat="1" applyFont="1" applyFill="1" applyBorder="1" applyAlignment="1">
      <alignment horizontal="right" vertical="center" wrapText="1"/>
    </xf>
    <xf numFmtId="167" fontId="7" fillId="3" borderId="14" xfId="57" applyNumberFormat="1" applyFont="1" applyFill="1" applyBorder="1" applyAlignment="1">
      <alignment horizontal="right" vertical="center" wrapText="1"/>
    </xf>
    <xf numFmtId="167" fontId="7" fillId="3" borderId="15" xfId="57" applyNumberFormat="1" applyFont="1" applyFill="1" applyBorder="1" applyAlignment="1">
      <alignment horizontal="right" vertical="center" wrapText="1"/>
    </xf>
    <xf numFmtId="167" fontId="16" fillId="0" borderId="17" xfId="57" applyNumberFormat="1" applyFont="1" applyBorder="1" applyAlignment="1">
      <alignment horizontal="right"/>
    </xf>
    <xf numFmtId="167" fontId="16" fillId="0" borderId="18" xfId="57" applyNumberFormat="1" applyFont="1" applyBorder="1" applyAlignment="1">
      <alignment horizontal="right"/>
    </xf>
    <xf numFmtId="167" fontId="16" fillId="0" borderId="0" xfId="57" applyNumberFormat="1" applyFont="1" applyBorder="1" applyAlignment="1">
      <alignment horizontal="right"/>
    </xf>
    <xf numFmtId="167" fontId="16" fillId="0" borderId="12" xfId="57" applyNumberFormat="1" applyFont="1" applyBorder="1" applyAlignment="1">
      <alignment horizontal="right"/>
    </xf>
    <xf numFmtId="167" fontId="16" fillId="0" borderId="14" xfId="57" applyNumberFormat="1" applyFont="1" applyBorder="1" applyAlignment="1">
      <alignment horizontal="right"/>
    </xf>
    <xf numFmtId="167" fontId="16" fillId="0" borderId="15" xfId="57" applyNumberFormat="1" applyFont="1" applyBorder="1" applyAlignment="1">
      <alignment horizontal="right"/>
    </xf>
    <xf numFmtId="165" fontId="16" fillId="0" borderId="0" xfId="56" applyNumberFormat="1" applyFont="1" applyAlignment="1">
      <alignment horizontal="right"/>
    </xf>
    <xf numFmtId="165" fontId="16" fillId="0" borderId="0" xfId="57" applyNumberFormat="1" applyFont="1" applyAlignment="1">
      <alignment horizontal="right"/>
    </xf>
    <xf numFmtId="166" fontId="7" fillId="0" borderId="8" xfId="57" applyNumberFormat="1" applyFont="1" applyBorder="1" applyAlignment="1">
      <alignment horizontal="right" vertical="center" wrapText="1"/>
    </xf>
    <xf numFmtId="9" fontId="16" fillId="0" borderId="0" xfId="0" applyNumberFormat="1" applyFont="1"/>
    <xf numFmtId="167" fontId="7" fillId="3" borderId="11" xfId="57" applyNumberFormat="1" applyFont="1" applyFill="1" applyBorder="1" applyAlignment="1">
      <alignment horizontal="right" vertical="center" wrapText="1"/>
    </xf>
    <xf numFmtId="167" fontId="7" fillId="3" borderId="13" xfId="57" applyNumberFormat="1" applyFont="1" applyFill="1" applyBorder="1" applyAlignment="1">
      <alignment horizontal="right" vertical="center" wrapText="1"/>
    </xf>
    <xf numFmtId="0" fontId="16" fillId="0" borderId="8" xfId="0" applyFont="1" applyBorder="1"/>
    <xf numFmtId="169" fontId="16" fillId="0" borderId="12" xfId="56" applyNumberFormat="1" applyFont="1" applyBorder="1"/>
    <xf numFmtId="168" fontId="16" fillId="0" borderId="12" xfId="56" applyNumberFormat="1" applyFont="1" applyBorder="1"/>
    <xf numFmtId="0" fontId="16" fillId="0" borderId="12" xfId="0" applyFont="1" applyBorder="1"/>
    <xf numFmtId="168" fontId="16" fillId="0" borderId="15" xfId="56" applyNumberFormat="1" applyFont="1" applyBorder="1"/>
    <xf numFmtId="0" fontId="10" fillId="0" borderId="1" xfId="0" applyFont="1" applyBorder="1"/>
    <xf numFmtId="0" fontId="16" fillId="3" borderId="0" xfId="0" applyFont="1" applyFill="1"/>
    <xf numFmtId="0" fontId="10" fillId="0" borderId="4" xfId="0" applyFont="1" applyBorder="1"/>
    <xf numFmtId="170" fontId="16" fillId="0" borderId="12" xfId="56" applyNumberFormat="1" applyFont="1" applyBorder="1"/>
    <xf numFmtId="171" fontId="10" fillId="0" borderId="6" xfId="0" applyNumberFormat="1" applyFont="1" applyBorder="1"/>
    <xf numFmtId="0" fontId="9" fillId="4" borderId="1" xfId="3" applyFont="1" applyFill="1" applyBorder="1" applyAlignment="1">
      <alignment horizontal="left" vertical="center"/>
    </xf>
    <xf numFmtId="0" fontId="9" fillId="4" borderId="0" xfId="3" applyFont="1" applyFill="1" applyBorder="1" applyAlignment="1">
      <alignment horizontal="left" vertical="center"/>
    </xf>
    <xf numFmtId="0" fontId="10" fillId="0" borderId="0" xfId="3" applyFont="1" applyBorder="1" applyAlignment="1">
      <alignment horizontal="center" vertical="center" wrapText="1"/>
    </xf>
    <xf numFmtId="169" fontId="16" fillId="0" borderId="0" xfId="56" applyNumberFormat="1" applyFont="1" applyBorder="1"/>
    <xf numFmtId="168" fontId="16" fillId="0" borderId="0" xfId="56" applyNumberFormat="1" applyFont="1" applyBorder="1"/>
    <xf numFmtId="170" fontId="16" fillId="0" borderId="0" xfId="56" applyNumberFormat="1" applyFont="1" applyBorder="1"/>
    <xf numFmtId="172" fontId="16" fillId="3" borderId="0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166" fontId="16" fillId="3" borderId="9" xfId="0" applyNumberFormat="1" applyFont="1" applyFill="1" applyBorder="1"/>
    <xf numFmtId="171" fontId="10" fillId="0" borderId="5" xfId="0" applyNumberFormat="1" applyFont="1" applyBorder="1"/>
    <xf numFmtId="166" fontId="16" fillId="0" borderId="9" xfId="0" applyNumberFormat="1" applyFont="1" applyFill="1" applyBorder="1"/>
    <xf numFmtId="166" fontId="16" fillId="0" borderId="10" xfId="0" applyNumberFormat="1" applyFont="1" applyFill="1" applyBorder="1"/>
    <xf numFmtId="0" fontId="10" fillId="0" borderId="2" xfId="0" applyFont="1" applyBorder="1" applyAlignment="1">
      <alignment horizontal="center"/>
    </xf>
    <xf numFmtId="172" fontId="16" fillId="0" borderId="0" xfId="0" applyNumberFormat="1" applyFont="1" applyFill="1" applyBorder="1"/>
    <xf numFmtId="172" fontId="16" fillId="0" borderId="12" xfId="0" applyNumberFormat="1" applyFont="1" applyFill="1" applyBorder="1"/>
    <xf numFmtId="0" fontId="7" fillId="0" borderId="0" xfId="0" applyFont="1" applyAlignment="1">
      <alignment vertical="center" wrapText="1"/>
    </xf>
    <xf numFmtId="0" fontId="7" fillId="0" borderId="0" xfId="3" applyFont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166" fontId="16" fillId="3" borderId="22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3" applyFont="1" applyFill="1"/>
    <xf numFmtId="166" fontId="7" fillId="0" borderId="0" xfId="57" applyNumberFormat="1" applyFont="1" applyFill="1" applyBorder="1" applyAlignment="1">
      <alignment horizontal="right" vertical="center" wrapText="1"/>
    </xf>
    <xf numFmtId="166" fontId="7" fillId="0" borderId="12" xfId="57" applyNumberFormat="1" applyFont="1" applyFill="1" applyBorder="1" applyAlignment="1">
      <alignment horizontal="right" vertical="center" wrapText="1"/>
    </xf>
    <xf numFmtId="166" fontId="7" fillId="0" borderId="11" xfId="57" applyNumberFormat="1" applyFont="1" applyFill="1" applyBorder="1" applyAlignment="1">
      <alignment horizontal="right" vertical="center" wrapText="1"/>
    </xf>
    <xf numFmtId="165" fontId="7" fillId="0" borderId="11" xfId="57" applyNumberFormat="1" applyFont="1" applyFill="1" applyBorder="1" applyAlignment="1">
      <alignment horizontal="right" vertical="center" wrapText="1"/>
    </xf>
    <xf numFmtId="165" fontId="7" fillId="0" borderId="0" xfId="57" applyNumberFormat="1" applyFont="1" applyFill="1" applyBorder="1" applyAlignment="1">
      <alignment horizontal="right" vertical="center" wrapText="1"/>
    </xf>
    <xf numFmtId="165" fontId="7" fillId="0" borderId="12" xfId="57" applyNumberFormat="1" applyFont="1" applyFill="1" applyBorder="1" applyAlignment="1">
      <alignment horizontal="right" vertical="center" wrapText="1"/>
    </xf>
    <xf numFmtId="0" fontId="7" fillId="0" borderId="0" xfId="3" applyFont="1" applyFill="1"/>
    <xf numFmtId="166" fontId="7" fillId="0" borderId="14" xfId="57" applyNumberFormat="1" applyFont="1" applyFill="1" applyBorder="1" applyAlignment="1">
      <alignment horizontal="right" vertical="center" wrapText="1"/>
    </xf>
    <xf numFmtId="166" fontId="7" fillId="0" borderId="15" xfId="57" applyNumberFormat="1" applyFont="1" applyFill="1" applyBorder="1" applyAlignment="1">
      <alignment horizontal="right" vertical="center" wrapText="1"/>
    </xf>
    <xf numFmtId="166" fontId="7" fillId="0" borderId="13" xfId="57" applyNumberFormat="1" applyFont="1" applyFill="1" applyBorder="1" applyAlignment="1">
      <alignment horizontal="right" vertical="center" wrapText="1"/>
    </xf>
    <xf numFmtId="165" fontId="7" fillId="0" borderId="13" xfId="57" applyNumberFormat="1" applyFont="1" applyFill="1" applyBorder="1" applyAlignment="1">
      <alignment horizontal="right" vertical="center" wrapText="1"/>
    </xf>
    <xf numFmtId="165" fontId="7" fillId="0" borderId="14" xfId="57" applyNumberFormat="1" applyFont="1" applyFill="1" applyBorder="1" applyAlignment="1">
      <alignment horizontal="right" vertical="center" wrapText="1"/>
    </xf>
    <xf numFmtId="165" fontId="7" fillId="0" borderId="15" xfId="57" applyNumberFormat="1" applyFont="1" applyFill="1" applyBorder="1" applyAlignment="1">
      <alignment horizontal="right" vertical="center" wrapText="1"/>
    </xf>
    <xf numFmtId="167" fontId="7" fillId="3" borderId="9" xfId="57" applyNumberFormat="1" applyFont="1" applyFill="1" applyBorder="1" applyAlignment="1">
      <alignment horizontal="right" vertical="center" wrapText="1"/>
    </xf>
    <xf numFmtId="167" fontId="7" fillId="3" borderId="10" xfId="57" applyNumberFormat="1" applyFont="1" applyFill="1" applyBorder="1" applyAlignment="1">
      <alignment horizontal="right" vertical="center" wrapText="1"/>
    </xf>
    <xf numFmtId="167" fontId="7" fillId="3" borderId="8" xfId="57" applyNumberFormat="1" applyFont="1" applyFill="1" applyBorder="1" applyAlignment="1">
      <alignment horizontal="right" vertical="center" wrapText="1"/>
    </xf>
    <xf numFmtId="167" fontId="11" fillId="3" borderId="8" xfId="57" applyNumberFormat="1" applyFont="1" applyFill="1" applyBorder="1" applyAlignment="1">
      <alignment horizontal="right" vertical="center" wrapText="1"/>
    </xf>
    <xf numFmtId="0" fontId="7" fillId="3" borderId="9" xfId="3" applyFont="1" applyFill="1" applyBorder="1" applyAlignment="1">
      <alignment horizontal="left" vertical="center"/>
    </xf>
    <xf numFmtId="0" fontId="7" fillId="3" borderId="8" xfId="3" applyFont="1" applyFill="1" applyBorder="1" applyAlignment="1">
      <alignment horizontal="left" vertical="center"/>
    </xf>
    <xf numFmtId="0" fontId="7" fillId="0" borderId="4" xfId="3" applyFont="1" applyBorder="1" applyAlignment="1">
      <alignment horizontal="left" vertical="center"/>
    </xf>
    <xf numFmtId="166" fontId="7" fillId="0" borderId="6" xfId="57" applyNumberFormat="1" applyFont="1" applyBorder="1" applyAlignment="1">
      <alignment horizontal="right" vertical="center" wrapText="1"/>
    </xf>
    <xf numFmtId="165" fontId="16" fillId="0" borderId="5" xfId="57" applyNumberFormat="1" applyFont="1" applyBorder="1" applyAlignment="1">
      <alignment horizontal="right" vertical="center"/>
    </xf>
    <xf numFmtId="0" fontId="10" fillId="0" borderId="8" xfId="3" applyFont="1" applyBorder="1" applyAlignment="1">
      <alignment horizontal="left" vertical="center" wrapText="1"/>
    </xf>
    <xf numFmtId="0" fontId="10" fillId="0" borderId="19" xfId="3" applyFont="1" applyBorder="1" applyAlignment="1">
      <alignment horizontal="left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center" vertical="center" wrapText="1"/>
    </xf>
    <xf numFmtId="0" fontId="10" fillId="0" borderId="20" xfId="6" applyFont="1" applyFill="1" applyBorder="1" applyAlignment="1">
      <alignment horizontal="center" vertical="center" wrapText="1"/>
    </xf>
    <xf numFmtId="0" fontId="10" fillId="0" borderId="10" xfId="6" applyFont="1" applyFill="1" applyBorder="1" applyAlignment="1">
      <alignment horizontal="center" vertical="center" wrapText="1"/>
    </xf>
    <xf numFmtId="0" fontId="10" fillId="0" borderId="21" xfId="6" applyFont="1" applyFill="1" applyBorder="1" applyAlignment="1">
      <alignment horizontal="center" vertical="center" wrapText="1"/>
    </xf>
    <xf numFmtId="0" fontId="18" fillId="0" borderId="0" xfId="626" applyFont="1" applyAlignment="1">
      <alignment vertical="center"/>
    </xf>
    <xf numFmtId="0" fontId="16" fillId="0" borderId="0" xfId="626" applyFont="1" applyAlignment="1">
      <alignment vertical="center"/>
    </xf>
    <xf numFmtId="0" fontId="19" fillId="0" borderId="0" xfId="626" applyFont="1" applyAlignment="1">
      <alignment vertical="center"/>
    </xf>
    <xf numFmtId="49" fontId="16" fillId="0" borderId="0" xfId="626" applyNumberFormat="1" applyFont="1" applyAlignment="1">
      <alignment horizontal="left" vertical="center"/>
    </xf>
    <xf numFmtId="0" fontId="21" fillId="0" borderId="0" xfId="627" applyFont="1" applyFill="1"/>
    <xf numFmtId="0" fontId="16" fillId="0" borderId="0" xfId="626" applyFont="1"/>
    <xf numFmtId="0" fontId="22" fillId="0" borderId="20" xfId="2" applyFont="1" applyBorder="1" applyAlignment="1">
      <alignment horizontal="left"/>
    </xf>
    <xf numFmtId="0" fontId="22" fillId="0" borderId="20" xfId="626" applyFont="1" applyBorder="1"/>
    <xf numFmtId="0" fontId="16" fillId="0" borderId="0" xfId="626" applyFont="1" applyAlignment="1">
      <alignment horizontal="center" vertical="center"/>
    </xf>
    <xf numFmtId="0" fontId="15" fillId="4" borderId="0" xfId="626" applyFont="1" applyFill="1" applyAlignment="1">
      <alignment vertical="center"/>
    </xf>
    <xf numFmtId="0" fontId="21" fillId="0" borderId="0" xfId="627" applyFont="1" applyAlignment="1">
      <alignment horizontal="right"/>
    </xf>
  </cellXfs>
  <cellStyles count="628">
    <cellStyle name="ColumnHeaderNormal" xfId="6" xr:uid="{00000000-0005-0000-0000-000000000000}"/>
    <cellStyle name="Comma" xfId="56" builtinId="3"/>
    <cellStyle name="Comma 10 2" xfId="4" xr:uid="{00000000-0005-0000-0000-000002000000}"/>
    <cellStyle name="Comma 2" xfId="9" xr:uid="{00000000-0005-0000-0000-000003000000}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 2" xfId="1" xr:uid="{00000000-0005-0000-0000-00006A020000}"/>
    <cellStyle name="Hyperlink 3" xfId="627" xr:uid="{90FA7819-8BA4-224C-9F04-6C277CB425D8}"/>
    <cellStyle name="Normal" xfId="0" builtinId="0"/>
    <cellStyle name="Normal 16" xfId="3" xr:uid="{00000000-0005-0000-0000-00006C020000}"/>
    <cellStyle name="Normal 2" xfId="626" xr:uid="{1E00659F-52EB-2B44-82FB-48CFB6E7BD7E}"/>
    <cellStyle name="Normal 20 2" xfId="2" xr:uid="{00000000-0005-0000-0000-00006D020000}"/>
    <cellStyle name="Per cent" xfId="57" builtinId="5"/>
    <cellStyle name="Percent 13 2" xfId="8" xr:uid="{00000000-0005-0000-0000-00006F020000}"/>
    <cellStyle name="Percent 2" xfId="5" xr:uid="{00000000-0005-0000-0000-000070020000}"/>
    <cellStyle name="TextNormal" xfId="7" xr:uid="{00000000-0005-0000-0000-000071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34164440935"/>
          <c:y val="5.7367357361307401E-2"/>
          <c:w val="0.83758442694663204"/>
          <c:h val="0.841246719160104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Regression!$B$6</c:f>
              <c:strCache>
                <c:ptCount val="1"/>
                <c:pt idx="0">
                  <c:v>LTM EV/Revenue vs. LTM Revenue growth</c:v>
                </c:pt>
              </c:strCache>
            </c:strRef>
          </c:tx>
          <c:spPr>
            <a:ln w="31750">
              <a:noFill/>
            </a:ln>
          </c:spPr>
          <c:marker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8C3-A149-9DC5-C22F8C267F91}"/>
              </c:ext>
            </c:extLst>
          </c:dPt>
          <c:dPt>
            <c:idx val="1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8C3-A149-9DC5-C22F8C267F91}"/>
              </c:ext>
            </c:extLst>
          </c:dPt>
          <c:dPt>
            <c:idx val="2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8C3-A149-9DC5-C22F8C267F91}"/>
              </c:ext>
            </c:extLst>
          </c:dPt>
          <c:dPt>
            <c:idx val="3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8C3-A149-9DC5-C22F8C267F91}"/>
              </c:ext>
            </c:extLst>
          </c:dPt>
          <c:dPt>
            <c:idx val="4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8C3-A149-9DC5-C22F8C267F91}"/>
              </c:ext>
            </c:extLst>
          </c:dPt>
          <c:dPt>
            <c:idx val="5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8C3-A149-9DC5-C22F8C267F91}"/>
              </c:ext>
            </c:extLst>
          </c:dPt>
          <c:dPt>
            <c:idx val="6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8C3-A149-9DC5-C22F8C267F91}"/>
              </c:ext>
            </c:extLst>
          </c:dPt>
          <c:dPt>
            <c:idx val="7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8C3-A149-9DC5-C22F8C267F91}"/>
              </c:ext>
            </c:extLst>
          </c:dPt>
          <c:dPt>
            <c:idx val="8"/>
            <c:marker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8C3-A149-9DC5-C22F8C267F91}"/>
              </c:ext>
            </c:extLst>
          </c:dPt>
          <c:dPt>
            <c:idx val="9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8C3-A149-9DC5-C22F8C267F91}"/>
              </c:ext>
            </c:extLst>
          </c:dPt>
          <c:dPt>
            <c:idx val="10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8C3-A149-9DC5-C22F8C267F91}"/>
              </c:ext>
            </c:extLst>
          </c:dPt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9.1818959125688104E-2"/>
                  <c:y val="3.8377279536522702E-2"/>
                </c:manualLayout>
              </c:layout>
              <c:numFmt formatCode="General" sourceLinked="0"/>
            </c:trendlineLbl>
          </c:trendline>
          <c:xVal>
            <c:numRef>
              <c:f>Regression!$C$7:$C$17</c:f>
              <c:numCache>
                <c:formatCode>0.0\x</c:formatCode>
                <c:ptCount val="11"/>
                <c:pt idx="0">
                  <c:v>1.9801980198019802</c:v>
                </c:pt>
                <c:pt idx="1">
                  <c:v>2.0499108734402851</c:v>
                </c:pt>
                <c:pt idx="2">
                  <c:v>2.1359223300970873</c:v>
                </c:pt>
                <c:pt idx="3">
                  <c:v>2.2435897435897436</c:v>
                </c:pt>
                <c:pt idx="4">
                  <c:v>2.3809523809523809</c:v>
                </c:pt>
                <c:pt idx="5">
                  <c:v>2.5606469002695418</c:v>
                </c:pt>
                <c:pt idx="6">
                  <c:v>2.8037383177570092</c:v>
                </c:pt>
                <c:pt idx="7">
                  <c:v>3.0270655270655271</c:v>
                </c:pt>
                <c:pt idx="8">
                  <c:v>3.0581039755351678</c:v>
                </c:pt>
                <c:pt idx="9">
                  <c:v>3.2467532467532463</c:v>
                </c:pt>
                <c:pt idx="10">
                  <c:v>3.3943266157754364</c:v>
                </c:pt>
              </c:numCache>
            </c:numRef>
          </c:xVal>
          <c:yVal>
            <c:numRef>
              <c:f>Regression!$D$7:$D$17</c:f>
              <c:numCache>
                <c:formatCode>0.0%</c:formatCode>
                <c:ptCount val="11"/>
                <c:pt idx="0">
                  <c:v>1.0000000000000009E-2</c:v>
                </c:pt>
                <c:pt idx="1">
                  <c:v>2.0000000000000018E-2</c:v>
                </c:pt>
                <c:pt idx="2">
                  <c:v>3.0000000000000027E-2</c:v>
                </c:pt>
                <c:pt idx="3">
                  <c:v>4.0000000000000036E-2</c:v>
                </c:pt>
                <c:pt idx="4">
                  <c:v>5.0000000000000044E-2</c:v>
                </c:pt>
                <c:pt idx="5">
                  <c:v>6.0000000000000053E-2</c:v>
                </c:pt>
                <c:pt idx="6">
                  <c:v>7.0000000000000062E-2</c:v>
                </c:pt>
                <c:pt idx="7">
                  <c:v>8.0000000000000071E-2</c:v>
                </c:pt>
                <c:pt idx="8">
                  <c:v>9.000000000000008E-2</c:v>
                </c:pt>
                <c:pt idx="9">
                  <c:v>0.10000000000000009</c:v>
                </c:pt>
                <c:pt idx="10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8C3-A149-9DC5-C22F8C267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378504"/>
        <c:axId val="2124381448"/>
      </c:scatterChart>
      <c:valAx>
        <c:axId val="2124378504"/>
        <c:scaling>
          <c:orientation val="minMax"/>
        </c:scaling>
        <c:delete val="0"/>
        <c:axPos val="b"/>
        <c:numFmt formatCode="0.0\x" sourceLinked="0"/>
        <c:majorTickMark val="out"/>
        <c:minorTickMark val="none"/>
        <c:tickLblPos val="nextTo"/>
        <c:crossAx val="2124381448"/>
        <c:crosses val="autoZero"/>
        <c:crossBetween val="midCat"/>
      </c:valAx>
      <c:valAx>
        <c:axId val="21243814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1243785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/>
          <a:cs typeface="Verdana"/>
        </a:defRPr>
      </a:pPr>
      <a:endParaRPr lang="en-IT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2</xdr:col>
      <xdr:colOff>50800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CFEA16-CFBC-4D41-B22F-D1F797E88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52" t="32323" r="15151" b="30303"/>
        <a:stretch/>
      </xdr:blipFill>
      <xdr:spPr>
        <a:xfrm>
          <a:off x="228600" y="127000"/>
          <a:ext cx="876300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270935</xdr:colOff>
      <xdr:row>3</xdr:row>
      <xdr:rowOff>59268</xdr:rowOff>
    </xdr:from>
    <xdr:to>
      <xdr:col>7</xdr:col>
      <xdr:colOff>451556</xdr:colOff>
      <xdr:row>17</xdr:row>
      <xdr:rowOff>84666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5324-610E-8D49-894D-7109A86AAD75}">
  <dimension ref="B2:B12"/>
  <sheetViews>
    <sheetView showGridLines="0" tabSelected="1" workbookViewId="0">
      <selection activeCell="B10" sqref="B10"/>
    </sheetView>
  </sheetViews>
  <sheetFormatPr baseColWidth="10" defaultRowHeight="11" x14ac:dyDescent="0.2"/>
  <cols>
    <col min="1" max="1" width="3" style="164" customWidth="1"/>
    <col min="2" max="16384" width="10.83203125" style="164"/>
  </cols>
  <sheetData>
    <row r="2" spans="2:2" ht="20" x14ac:dyDescent="0.2">
      <c r="B2" s="163"/>
    </row>
    <row r="7" spans="2:2" ht="14" x14ac:dyDescent="0.2">
      <c r="B7" s="165" t="s">
        <v>107</v>
      </c>
    </row>
    <row r="11" spans="2:2" x14ac:dyDescent="0.2">
      <c r="B11" s="164" t="s">
        <v>99</v>
      </c>
    </row>
    <row r="12" spans="2:2" x14ac:dyDescent="0.2">
      <c r="B12" s="166" t="s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76BA-C8A5-7644-BD8B-92D82DDACB21}">
  <dimension ref="A1:C14"/>
  <sheetViews>
    <sheetView showGridLines="0" zoomScale="85" zoomScaleNormal="85" workbookViewId="0"/>
  </sheetViews>
  <sheetFormatPr baseColWidth="10" defaultRowHeight="11" x14ac:dyDescent="0.15"/>
  <cols>
    <col min="1" max="1" width="3" style="168" customWidth="1"/>
    <col min="2" max="2" width="14.6640625" style="168" bestFit="1" customWidth="1"/>
    <col min="3" max="16384" width="10.83203125" style="168"/>
  </cols>
  <sheetData>
    <row r="1" spans="1:3" x14ac:dyDescent="0.15">
      <c r="A1" s="167" t="s">
        <v>101</v>
      </c>
    </row>
    <row r="2" spans="1:3" x14ac:dyDescent="0.15">
      <c r="A2" s="168" t="str">
        <f>Cover!$B$7</f>
        <v>Regression analysis and valuation</v>
      </c>
    </row>
    <row r="3" spans="1:3" s="170" customFormat="1" ht="16" x14ac:dyDescent="0.2">
      <c r="A3" s="169" t="str">
        <f ca="1">MID(CELL("filename",A1),FIND("]",CELL("filename",A1))+1,255)</f>
        <v>Index</v>
      </c>
    </row>
    <row r="4" spans="1:3" x14ac:dyDescent="0.15">
      <c r="A4" s="171"/>
    </row>
    <row r="5" spans="1:3" ht="15" customHeight="1" x14ac:dyDescent="0.15">
      <c r="A5" s="171"/>
      <c r="B5" s="172" t="s">
        <v>102</v>
      </c>
      <c r="C5" s="172"/>
    </row>
    <row r="6" spans="1:3" ht="10" customHeight="1" x14ac:dyDescent="0.15"/>
    <row r="7" spans="1:3" ht="10" customHeight="1" x14ac:dyDescent="0.15">
      <c r="B7" s="168" t="s">
        <v>103</v>
      </c>
      <c r="C7" s="173" t="s">
        <v>104</v>
      </c>
    </row>
    <row r="8" spans="1:3" ht="10" customHeight="1" x14ac:dyDescent="0.15">
      <c r="C8" s="173"/>
    </row>
    <row r="9" spans="1:3" ht="10" customHeight="1" x14ac:dyDescent="0.15">
      <c r="B9" s="168" t="s">
        <v>105</v>
      </c>
      <c r="C9" s="173" t="s">
        <v>104</v>
      </c>
    </row>
    <row r="10" spans="1:3" ht="10" customHeight="1" x14ac:dyDescent="0.15">
      <c r="C10" s="173"/>
    </row>
    <row r="11" spans="1:3" ht="10" customHeight="1" x14ac:dyDescent="0.15">
      <c r="B11" s="168" t="s">
        <v>108</v>
      </c>
      <c r="C11" s="173" t="s">
        <v>104</v>
      </c>
    </row>
    <row r="12" spans="1:3" ht="10" customHeight="1" x14ac:dyDescent="0.15">
      <c r="C12" s="173"/>
    </row>
    <row r="13" spans="1:3" ht="10" customHeight="1" x14ac:dyDescent="0.15">
      <c r="B13" s="168" t="s">
        <v>106</v>
      </c>
      <c r="C13" s="173" t="s">
        <v>104</v>
      </c>
    </row>
    <row r="14" spans="1:3" ht="10" customHeight="1" x14ac:dyDescent="0.15"/>
  </sheetData>
  <hyperlinks>
    <hyperlink ref="C9" location="Peers!A1" display="Link" xr:uid="{06B7EF82-20E4-2541-87E8-460BC97A68D5}"/>
    <hyperlink ref="C7" location="Input!A1" display="Link" xr:uid="{5E07DBF4-3592-A340-9C63-48D546368FF0}"/>
    <hyperlink ref="C13" location="Valuation!A1" display="Link" xr:uid="{E216B263-5191-FB4C-A04B-4CCD65722796}"/>
    <hyperlink ref="A1" location="Index!A1" display="Index" xr:uid="{01B15793-373E-AD42-8C95-50911F90A0FF}"/>
    <hyperlink ref="C11" location="Regression!A1" display="Link" xr:uid="{4E1F0D69-B0E8-CC47-9AC0-2E0F5671EBB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showGridLines="0" zoomScale="85" zoomScaleNormal="85" zoomScalePageLayoutView="90" workbookViewId="0">
      <selection activeCell="B19" sqref="B19"/>
    </sheetView>
  </sheetViews>
  <sheetFormatPr baseColWidth="10" defaultColWidth="8.83203125" defaultRowHeight="11" x14ac:dyDescent="0.2"/>
  <cols>
    <col min="1" max="1" width="2.1640625" style="19" customWidth="1"/>
    <col min="2" max="2" width="21.33203125" style="19" customWidth="1"/>
    <col min="3" max="4" width="15.1640625" style="19" customWidth="1"/>
    <col min="5" max="5" width="3.1640625" style="19" customWidth="1"/>
    <col min="6" max="6" width="15.33203125" style="19" customWidth="1"/>
    <col min="7" max="8" width="15.1640625" style="19" customWidth="1"/>
    <col min="9" max="9" width="3.1640625" style="19" customWidth="1"/>
    <col min="10" max="10" width="15.1640625" style="19" customWidth="1"/>
    <col min="11" max="11" width="19.33203125" style="19" bestFit="1" customWidth="1"/>
    <col min="12" max="17" width="15.1640625" style="19" customWidth="1"/>
    <col min="18" max="18" width="16.6640625" style="19" customWidth="1"/>
    <col min="19" max="20" width="16" style="19" customWidth="1"/>
    <col min="21" max="21" width="17.5" style="19" customWidth="1"/>
    <col min="22" max="23" width="15.33203125" style="19" customWidth="1"/>
    <col min="24" max="24" width="8.83203125" style="19"/>
    <col min="25" max="25" width="9" style="19" bestFit="1" customWidth="1"/>
    <col min="26" max="16384" width="8.83203125" style="19"/>
  </cols>
  <sheetData>
    <row r="1" spans="1:32" s="168" customFormat="1" x14ac:dyDescent="0.15">
      <c r="A1" s="167" t="s">
        <v>101</v>
      </c>
    </row>
    <row r="2" spans="1:32" s="168" customFormat="1" x14ac:dyDescent="0.15">
      <c r="A2" s="168" t="str">
        <f>Cover!$B$7</f>
        <v>Regression analysis and valuation</v>
      </c>
    </row>
    <row r="3" spans="1:32" s="170" customFormat="1" ht="16" x14ac:dyDescent="0.2">
      <c r="A3" s="169" t="str">
        <f ca="1">MID(CELL("filename",A1),FIND("]",CELL("filename",A1))+1,255)</f>
        <v>Input</v>
      </c>
    </row>
    <row r="4" spans="1:32" s="3" customFormat="1" x14ac:dyDescent="0.2">
      <c r="C4" s="116"/>
      <c r="G4" s="116"/>
    </row>
    <row r="5" spans="1:32" s="117" customFormat="1" ht="19.5" customHeight="1" x14ac:dyDescent="0.2">
      <c r="B5" s="17" t="s">
        <v>12</v>
      </c>
      <c r="C5" s="18"/>
      <c r="D5" s="18"/>
      <c r="E5" s="19"/>
      <c r="F5" s="17" t="s">
        <v>95</v>
      </c>
      <c r="G5" s="18"/>
      <c r="H5" s="18"/>
      <c r="I5" s="19"/>
      <c r="J5" s="17" t="s">
        <v>18</v>
      </c>
      <c r="K5" s="17" t="s">
        <v>78</v>
      </c>
      <c r="L5" s="17" t="s">
        <v>79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x14ac:dyDescent="0.2">
      <c r="J6" s="118" t="s">
        <v>27</v>
      </c>
      <c r="K6" s="119" t="s">
        <v>35</v>
      </c>
      <c r="L6" s="120" t="s">
        <v>56</v>
      </c>
    </row>
    <row r="7" spans="1:32" x14ac:dyDescent="0.2">
      <c r="B7" s="19" t="s">
        <v>16</v>
      </c>
      <c r="C7" s="128" t="s">
        <v>13</v>
      </c>
      <c r="D7" s="20" t="s">
        <v>14</v>
      </c>
      <c r="F7" s="19" t="s">
        <v>96</v>
      </c>
      <c r="G7" s="128"/>
      <c r="H7" s="20" t="s">
        <v>97</v>
      </c>
      <c r="J7" s="121" t="s">
        <v>28</v>
      </c>
      <c r="K7" s="122" t="s">
        <v>36</v>
      </c>
      <c r="L7" s="123" t="s">
        <v>56</v>
      </c>
    </row>
    <row r="8" spans="1:32" x14ac:dyDescent="0.2">
      <c r="C8" s="131"/>
      <c r="G8" s="131"/>
      <c r="J8" s="121" t="s">
        <v>29</v>
      </c>
      <c r="K8" s="122" t="s">
        <v>37</v>
      </c>
      <c r="L8" s="123" t="s">
        <v>56</v>
      </c>
    </row>
    <row r="9" spans="1:32" x14ac:dyDescent="0.2">
      <c r="B9" s="19" t="s">
        <v>4</v>
      </c>
      <c r="C9" s="128" t="s">
        <v>15</v>
      </c>
      <c r="D9" s="20" t="s">
        <v>14</v>
      </c>
      <c r="J9" s="121" t="s">
        <v>30</v>
      </c>
      <c r="K9" s="122" t="s">
        <v>38</v>
      </c>
      <c r="L9" s="123" t="s">
        <v>56</v>
      </c>
    </row>
    <row r="10" spans="1:32" x14ac:dyDescent="0.2">
      <c r="C10" s="131"/>
      <c r="J10" s="118" t="s">
        <v>60</v>
      </c>
      <c r="K10" s="119" t="s">
        <v>35</v>
      </c>
      <c r="L10" s="120" t="s">
        <v>80</v>
      </c>
    </row>
    <row r="11" spans="1:32" x14ac:dyDescent="0.2">
      <c r="B11" s="19" t="s">
        <v>82</v>
      </c>
      <c r="C11" s="127" t="s">
        <v>27</v>
      </c>
      <c r="D11" s="20" t="s">
        <v>17</v>
      </c>
      <c r="J11" s="121" t="s">
        <v>61</v>
      </c>
      <c r="K11" s="122" t="s">
        <v>36</v>
      </c>
      <c r="L11" s="123" t="s">
        <v>80</v>
      </c>
    </row>
    <row r="12" spans="1:32" x14ac:dyDescent="0.2">
      <c r="C12" s="131"/>
      <c r="D12" s="20"/>
      <c r="J12" s="121" t="s">
        <v>62</v>
      </c>
      <c r="K12" s="122" t="s">
        <v>37</v>
      </c>
      <c r="L12" s="123" t="s">
        <v>80</v>
      </c>
    </row>
    <row r="13" spans="1:32" x14ac:dyDescent="0.2">
      <c r="B13" s="19" t="s">
        <v>83</v>
      </c>
      <c r="C13" s="127" t="s">
        <v>84</v>
      </c>
      <c r="D13" s="20" t="s">
        <v>17</v>
      </c>
      <c r="J13" s="124" t="s">
        <v>63</v>
      </c>
      <c r="K13" s="125" t="s">
        <v>38</v>
      </c>
      <c r="L13" s="126" t="s">
        <v>80</v>
      </c>
    </row>
    <row r="14" spans="1:32" x14ac:dyDescent="0.2">
      <c r="C14" s="131"/>
      <c r="J14" s="118" t="s">
        <v>31</v>
      </c>
      <c r="K14" s="119" t="s">
        <v>39</v>
      </c>
      <c r="L14" s="120" t="s">
        <v>56</v>
      </c>
    </row>
    <row r="15" spans="1:32" x14ac:dyDescent="0.2">
      <c r="B15" s="19" t="s">
        <v>81</v>
      </c>
      <c r="C15" s="129">
        <v>0.05</v>
      </c>
      <c r="D15" s="20" t="s">
        <v>14</v>
      </c>
      <c r="J15" s="121" t="s">
        <v>32</v>
      </c>
      <c r="K15" s="122" t="s">
        <v>40</v>
      </c>
      <c r="L15" s="123" t="s">
        <v>56</v>
      </c>
    </row>
    <row r="16" spans="1:32" x14ac:dyDescent="0.2">
      <c r="C16" s="131"/>
      <c r="J16" s="121" t="s">
        <v>33</v>
      </c>
      <c r="K16" s="122" t="s">
        <v>41</v>
      </c>
      <c r="L16" s="123" t="s">
        <v>56</v>
      </c>
    </row>
    <row r="17" spans="2:12" x14ac:dyDescent="0.2">
      <c r="B17" s="19" t="s">
        <v>78</v>
      </c>
      <c r="C17" s="130" t="str">
        <f>INDEX(K:K,MATCH($C$11,J:J,0))</f>
        <v>LTM Revenue</v>
      </c>
      <c r="D17" s="20"/>
      <c r="J17" s="124" t="s">
        <v>34</v>
      </c>
      <c r="K17" s="125" t="s">
        <v>42</v>
      </c>
      <c r="L17" s="126" t="s">
        <v>56</v>
      </c>
    </row>
    <row r="18" spans="2:12" x14ac:dyDescent="0.2">
      <c r="C18" s="131"/>
      <c r="J18" s="121" t="s">
        <v>64</v>
      </c>
      <c r="K18" s="122" t="s">
        <v>73</v>
      </c>
      <c r="L18" s="123" t="s">
        <v>80</v>
      </c>
    </row>
    <row r="19" spans="2:12" x14ac:dyDescent="0.2">
      <c r="B19" s="19" t="s">
        <v>79</v>
      </c>
      <c r="C19" s="130" t="str">
        <f>INDEX(L:L,MATCH($C$11,J:J,0))</f>
        <v>Enterprise Value</v>
      </c>
      <c r="J19" s="121" t="s">
        <v>65</v>
      </c>
      <c r="K19" s="122" t="s">
        <v>72</v>
      </c>
      <c r="L19" s="123" t="s">
        <v>80</v>
      </c>
    </row>
    <row r="20" spans="2:12" x14ac:dyDescent="0.2">
      <c r="J20" s="121" t="s">
        <v>66</v>
      </c>
      <c r="K20" s="122" t="s">
        <v>71</v>
      </c>
      <c r="L20" s="123" t="s">
        <v>80</v>
      </c>
    </row>
    <row r="21" spans="2:12" x14ac:dyDescent="0.2">
      <c r="J21" s="121" t="s">
        <v>67</v>
      </c>
      <c r="K21" s="122" t="s">
        <v>74</v>
      </c>
      <c r="L21" s="123" t="s">
        <v>80</v>
      </c>
    </row>
    <row r="22" spans="2:12" x14ac:dyDescent="0.2">
      <c r="J22" s="118" t="s">
        <v>57</v>
      </c>
      <c r="K22" s="119" t="s">
        <v>58</v>
      </c>
      <c r="L22" s="120" t="s">
        <v>80</v>
      </c>
    </row>
    <row r="23" spans="2:12" x14ac:dyDescent="0.2">
      <c r="J23" s="121" t="s">
        <v>68</v>
      </c>
      <c r="K23" s="122" t="s">
        <v>75</v>
      </c>
      <c r="L23" s="123" t="s">
        <v>80</v>
      </c>
    </row>
    <row r="24" spans="2:12" x14ac:dyDescent="0.2">
      <c r="J24" s="121" t="s">
        <v>69</v>
      </c>
      <c r="K24" s="122" t="s">
        <v>76</v>
      </c>
      <c r="L24" s="123" t="s">
        <v>80</v>
      </c>
    </row>
    <row r="25" spans="2:12" x14ac:dyDescent="0.2">
      <c r="J25" s="124" t="s">
        <v>70</v>
      </c>
      <c r="K25" s="125" t="s">
        <v>77</v>
      </c>
      <c r="L25" s="126" t="s">
        <v>80</v>
      </c>
    </row>
  </sheetData>
  <phoneticPr fontId="14" type="noConversion"/>
  <hyperlinks>
    <hyperlink ref="A1" location="Index!A1" display="Index" xr:uid="{C1C39130-7E86-354C-91C0-95CD2025A58D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Peers!$AW$7:$BP$7</xm:f>
          </x14:formula1>
          <xm:sqref>C11</xm:sqref>
        </x14:dataValidation>
        <x14:dataValidation type="list" allowBlank="1" showInputMessage="1" showErrorMessage="1" xr:uid="{00000000-0002-0000-0000-000001000000}">
          <x14:formula1>
            <xm:f>Peers!$Y$7:$AV$7</xm:f>
          </x14:formula1>
          <xm:sqref>C13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36"/>
  <sheetViews>
    <sheetView showGridLines="0" zoomScale="85" zoomScaleNormal="85" zoomScalePageLayoutView="90" workbookViewId="0">
      <selection activeCell="A8" sqref="A8"/>
    </sheetView>
  </sheetViews>
  <sheetFormatPr baseColWidth="10" defaultColWidth="8.83203125" defaultRowHeight="11" x14ac:dyDescent="0.15"/>
  <cols>
    <col min="1" max="1" width="2.1640625" style="22" customWidth="1"/>
    <col min="2" max="2" width="21.83203125" style="22" customWidth="1"/>
    <col min="3" max="3" width="12" style="22" bestFit="1" customWidth="1"/>
    <col min="4" max="4" width="11.1640625" style="22" customWidth="1"/>
    <col min="5" max="5" width="13.5" style="22" customWidth="1"/>
    <col min="6" max="16" width="7.33203125" style="22" customWidth="1"/>
    <col min="17" max="17" width="6.6640625" style="22" customWidth="1"/>
    <col min="18" max="24" width="7.33203125" style="22" customWidth="1"/>
    <col min="25" max="32" width="8" style="22" customWidth="1"/>
    <col min="33" max="33" width="9" style="22" bestFit="1" customWidth="1"/>
    <col min="34" max="44" width="9" style="22" customWidth="1"/>
    <col min="45" max="45" width="9" style="22" bestFit="1" customWidth="1"/>
    <col min="46" max="52" width="9" style="22" customWidth="1"/>
    <col min="53" max="53" width="9" style="22" bestFit="1" customWidth="1"/>
    <col min="54" max="60" width="9" style="22" customWidth="1"/>
    <col min="61" max="61" width="9" style="22" bestFit="1" customWidth="1"/>
    <col min="62" max="64" width="9" style="22" customWidth="1"/>
    <col min="65" max="65" width="9" style="22" bestFit="1" customWidth="1"/>
    <col min="66" max="68" width="9" style="22" customWidth="1"/>
    <col min="69" max="16384" width="8.83203125" style="22"/>
  </cols>
  <sheetData>
    <row r="1" spans="1:68" s="168" customFormat="1" x14ac:dyDescent="0.15">
      <c r="A1" s="167" t="s">
        <v>101</v>
      </c>
    </row>
    <row r="2" spans="1:68" s="168" customFormat="1" x14ac:dyDescent="0.15">
      <c r="A2" s="168" t="str">
        <f>Cover!$B$7</f>
        <v>Regression analysis and valuation</v>
      </c>
    </row>
    <row r="3" spans="1:68" s="170" customFormat="1" ht="16" x14ac:dyDescent="0.2">
      <c r="A3" s="169" t="str">
        <f ca="1">MID(CELL("filename",A1),FIND("]",CELL("filename",A1))+1,255)</f>
        <v>Peers</v>
      </c>
    </row>
    <row r="4" spans="1:68" s="1" customFormat="1" x14ac:dyDescent="0.15">
      <c r="C4" s="2"/>
    </row>
    <row r="5" spans="1:68" s="4" customFormat="1" ht="19.5" customHeight="1" x14ac:dyDescent="0.15">
      <c r="B5" s="7" t="s">
        <v>21</v>
      </c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10"/>
    </row>
    <row r="6" spans="1:68" s="13" customFormat="1" ht="22" customHeight="1" collapsed="1" x14ac:dyDescent="0.2">
      <c r="B6" s="155" t="s">
        <v>22</v>
      </c>
      <c r="C6" s="157" t="s">
        <v>0</v>
      </c>
      <c r="D6" s="159" t="str">
        <f>"Market cap ("&amp;Input!$C$9&amp;")"</f>
        <v>Market cap (USDm)</v>
      </c>
      <c r="E6" s="161" t="str">
        <f>"Enterprise Value ("&amp;Input!$C$9&amp;")"</f>
        <v>Enterprise Value (USDm)</v>
      </c>
      <c r="F6" s="64" t="s">
        <v>1</v>
      </c>
      <c r="G6" s="64"/>
      <c r="H6" s="65"/>
      <c r="I6" s="66"/>
      <c r="J6" s="67"/>
      <c r="K6" s="64" t="s">
        <v>2</v>
      </c>
      <c r="L6" s="64"/>
      <c r="M6" s="65"/>
      <c r="N6" s="66"/>
      <c r="O6" s="67"/>
      <c r="P6" s="64" t="s">
        <v>26</v>
      </c>
      <c r="Q6" s="64"/>
      <c r="R6" s="65"/>
      <c r="S6" s="66"/>
      <c r="T6" s="67"/>
      <c r="U6" s="64" t="s">
        <v>3</v>
      </c>
      <c r="V6" s="65"/>
      <c r="W6" s="66"/>
      <c r="X6" s="67"/>
      <c r="Y6" s="64" t="s">
        <v>23</v>
      </c>
      <c r="Z6" s="65"/>
      <c r="AA6" s="66"/>
      <c r="AB6" s="67"/>
      <c r="AC6" s="64" t="s">
        <v>45</v>
      </c>
      <c r="AD6" s="65"/>
      <c r="AE6" s="66"/>
      <c r="AF6" s="67"/>
      <c r="AG6" s="66" t="s">
        <v>24</v>
      </c>
      <c r="AH6" s="65"/>
      <c r="AI6" s="66"/>
      <c r="AJ6" s="66"/>
      <c r="AK6" s="64" t="s">
        <v>46</v>
      </c>
      <c r="AL6" s="65"/>
      <c r="AM6" s="66"/>
      <c r="AN6" s="66"/>
      <c r="AO6" s="64" t="s">
        <v>47</v>
      </c>
      <c r="AP6" s="65"/>
      <c r="AQ6" s="66"/>
      <c r="AR6" s="66"/>
      <c r="AS6" s="64" t="s">
        <v>25</v>
      </c>
      <c r="AT6" s="65"/>
      <c r="AU6" s="66"/>
      <c r="AV6" s="66"/>
      <c r="AW6" s="64" t="s">
        <v>43</v>
      </c>
      <c r="AX6" s="65"/>
      <c r="AY6" s="66"/>
      <c r="AZ6" s="66"/>
      <c r="BA6" s="64" t="s">
        <v>48</v>
      </c>
      <c r="BB6" s="65"/>
      <c r="BC6" s="66"/>
      <c r="BD6" s="66"/>
      <c r="BE6" s="64" t="s">
        <v>49</v>
      </c>
      <c r="BF6" s="65"/>
      <c r="BG6" s="66"/>
      <c r="BH6" s="66"/>
      <c r="BI6" s="64" t="s">
        <v>50</v>
      </c>
      <c r="BJ6" s="65"/>
      <c r="BK6" s="66"/>
      <c r="BL6" s="66"/>
      <c r="BM6" s="64" t="s">
        <v>51</v>
      </c>
      <c r="BN6" s="65"/>
      <c r="BO6" s="66"/>
      <c r="BP6" s="67"/>
    </row>
    <row r="7" spans="1:68" s="63" customFormat="1" ht="11" customHeight="1" collapsed="1" x14ac:dyDescent="0.2">
      <c r="B7" s="156"/>
      <c r="C7" s="158"/>
      <c r="D7" s="160"/>
      <c r="E7" s="162"/>
      <c r="F7" s="68" t="str">
        <f>"LFY-1 "&amp;F6</f>
        <v>LFY-1 Revenue</v>
      </c>
      <c r="G7" s="69" t="str">
        <f>"LTM "&amp;F6</f>
        <v>LTM Revenue</v>
      </c>
      <c r="H7" s="69" t="str">
        <f>"LFY+1 "&amp;F6</f>
        <v>LFY+1 Revenue</v>
      </c>
      <c r="I7" s="69" t="str">
        <f>"LFY+2 "&amp;F6</f>
        <v>LFY+2 Revenue</v>
      </c>
      <c r="J7" s="69" t="str">
        <f>"LFY+3 "&amp;F6</f>
        <v>LFY+3 Revenue</v>
      </c>
      <c r="K7" s="68" t="str">
        <f>"LFY-1 "&amp;K6</f>
        <v>LFY-1 EBITDA</v>
      </c>
      <c r="L7" s="69" t="str">
        <f>"LTM "&amp;K6</f>
        <v>LTM EBITDA</v>
      </c>
      <c r="M7" s="69" t="str">
        <f>"LFY+1 "&amp;K6</f>
        <v>LFY+1 EBITDA</v>
      </c>
      <c r="N7" s="69" t="str">
        <f>"LFY+2 "&amp;K6</f>
        <v>LFY+2 EBITDA</v>
      </c>
      <c r="O7" s="69" t="str">
        <f>"LFY+3 "&amp;K6</f>
        <v>LFY+3 EBITDA</v>
      </c>
      <c r="P7" s="68" t="str">
        <f>"LFY-1 "&amp;P6</f>
        <v>LFY-1 Net profit</v>
      </c>
      <c r="Q7" s="69" t="str">
        <f>"LTM "&amp;P6</f>
        <v>LTM Net profit</v>
      </c>
      <c r="R7" s="69" t="str">
        <f>"LFY+1 "&amp;P6</f>
        <v>LFY+1 Net profit</v>
      </c>
      <c r="S7" s="69" t="str">
        <f>"LFY+2 "&amp;P6</f>
        <v>LFY+2 Net profit</v>
      </c>
      <c r="T7" s="69" t="str">
        <f>"LFY+3 "&amp;P6</f>
        <v>LFY+3 Net profit</v>
      </c>
      <c r="U7" s="68" t="str">
        <f>"LTM "&amp;U6</f>
        <v>LTM Book value</v>
      </c>
      <c r="V7" s="69" t="str">
        <f>"LFY+1 "&amp;U6</f>
        <v>LFY+1 Book value</v>
      </c>
      <c r="W7" s="69" t="str">
        <f>"LFY+2 "&amp;U6</f>
        <v>LFY+2 Book value</v>
      </c>
      <c r="X7" s="69" t="str">
        <f>"LFY+3 "&amp;U6</f>
        <v>LFY+3 Book value</v>
      </c>
      <c r="Y7" s="68" t="str">
        <f>"LTM "&amp;Y6</f>
        <v>LTM Revenue growth</v>
      </c>
      <c r="Z7" s="69" t="str">
        <f>"LFY+1 "&amp;Y6</f>
        <v>LFY+1 Revenue growth</v>
      </c>
      <c r="AA7" s="69" t="str">
        <f>"LFY+2 "&amp;Y6</f>
        <v>LFY+2 Revenue growth</v>
      </c>
      <c r="AB7" s="69" t="str">
        <f>"LFY+3 "&amp;Y6</f>
        <v>LFY+3 Revenue growth</v>
      </c>
      <c r="AC7" s="68" t="str">
        <f>"LTM "&amp;AC6</f>
        <v>LTM EBITDA growth</v>
      </c>
      <c r="AD7" s="69" t="str">
        <f>"LFY+1 "&amp;AC6</f>
        <v>LFY+1 EBITDA growth</v>
      </c>
      <c r="AE7" s="69" t="str">
        <f>"LFY+2 "&amp;AC6</f>
        <v>LFY+2 EBITDA growth</v>
      </c>
      <c r="AF7" s="69" t="str">
        <f>"LFY+3 "&amp;AC6</f>
        <v>LFY+3 EBITDA growth</v>
      </c>
      <c r="AG7" s="68" t="str">
        <f>"LTM "&amp;AG6</f>
        <v>LTM EBITDA margin</v>
      </c>
      <c r="AH7" s="69" t="str">
        <f>"LFY+1 "&amp;AG6</f>
        <v>LFY+1 EBITDA margin</v>
      </c>
      <c r="AI7" s="69" t="str">
        <f>"LFY+2 "&amp;AG6</f>
        <v>LFY+2 EBITDA margin</v>
      </c>
      <c r="AJ7" s="69" t="str">
        <f>"LFY+3 "&amp;AG6</f>
        <v>LFY+3 EBITDA margin</v>
      </c>
      <c r="AK7" s="68" t="str">
        <f>"LTM "&amp;AK6</f>
        <v>LTM Return on Equity</v>
      </c>
      <c r="AL7" s="69" t="str">
        <f>"LFY+1 "&amp;AK6</f>
        <v>LFY+1 Return on Equity</v>
      </c>
      <c r="AM7" s="69" t="str">
        <f>"LFY+2 "&amp;AK6</f>
        <v>LFY+2 Return on Equity</v>
      </c>
      <c r="AN7" s="69" t="str">
        <f>"LFY+3 "&amp;AK6</f>
        <v>LFY+3 Return on Equity</v>
      </c>
      <c r="AO7" s="68" t="str">
        <f>"LTM "&amp;AO6</f>
        <v>LTM Earnings growth</v>
      </c>
      <c r="AP7" s="69" t="str">
        <f>"LFY+1 "&amp;AO6</f>
        <v>LFY+1 Earnings growth</v>
      </c>
      <c r="AQ7" s="69" t="str">
        <f>"LFY+2 "&amp;AO6</f>
        <v>LFY+2 Earnings growth</v>
      </c>
      <c r="AR7" s="69" t="str">
        <f>"LFY+3 "&amp;AO6</f>
        <v>LFY+3 Earnings growth</v>
      </c>
      <c r="AS7" s="68" t="str">
        <f>"LTM "&amp;AS6</f>
        <v>LTM Profit margin</v>
      </c>
      <c r="AT7" s="69" t="str">
        <f>"LFY+1 "&amp;AS6</f>
        <v>LFY+1 Profit margin</v>
      </c>
      <c r="AU7" s="69" t="str">
        <f>"LFY+2 "&amp;AS6</f>
        <v>LFY+2 Profit margin</v>
      </c>
      <c r="AV7" s="69" t="str">
        <f>"LFY+3 "&amp;AS6</f>
        <v>LFY+3 Profit margin</v>
      </c>
      <c r="AW7" s="68" t="str">
        <f>"LTM "&amp;AW6</f>
        <v>LTM EV/Revenue</v>
      </c>
      <c r="AX7" s="69" t="str">
        <f>"LFY+1 "&amp;AW6</f>
        <v>LFY+1 EV/Revenue</v>
      </c>
      <c r="AY7" s="69" t="str">
        <f>"LFY+2 "&amp;AW6</f>
        <v>LFY+2 EV/Revenue</v>
      </c>
      <c r="AZ7" s="69" t="str">
        <f>"LFY+3 "&amp;AW6</f>
        <v>LFY+3 EV/Revenue</v>
      </c>
      <c r="BA7" s="68" t="str">
        <f>"LTM "&amp;BA6</f>
        <v>LTM P/Revenue</v>
      </c>
      <c r="BB7" s="69" t="str">
        <f>"LFY+1 "&amp;BA6</f>
        <v>LFY+1 P/Revenue</v>
      </c>
      <c r="BC7" s="69" t="str">
        <f>"LFY+2 "&amp;BA6</f>
        <v>LFY+2 P/Revenue</v>
      </c>
      <c r="BD7" s="69" t="str">
        <f>"LFY+3 "&amp;BA6</f>
        <v>LFY+3 P/Revenue</v>
      </c>
      <c r="BE7" s="68" t="str">
        <f>"LTM "&amp;BE6</f>
        <v>LTM EV/EBITDA</v>
      </c>
      <c r="BF7" s="69" t="str">
        <f>"LFY+1 "&amp;BE6</f>
        <v>LFY+1 EV/EBITDA</v>
      </c>
      <c r="BG7" s="69" t="str">
        <f>"LFY+2 "&amp;BE6</f>
        <v>LFY+2 EV/EBITDA</v>
      </c>
      <c r="BH7" s="69" t="str">
        <f>"LFY+3 "&amp;BE6</f>
        <v>LFY+3 EV/EBITDA</v>
      </c>
      <c r="BI7" s="68" t="str">
        <f>"LTM "&amp;BI6</f>
        <v>LTM P/E</v>
      </c>
      <c r="BJ7" s="69" t="str">
        <f>"LFY+1 "&amp;BI6</f>
        <v>LFY+1 P/E</v>
      </c>
      <c r="BK7" s="69" t="str">
        <f>"LFY+2 "&amp;BI6</f>
        <v>LFY+2 P/E</v>
      </c>
      <c r="BL7" s="69" t="str">
        <f>"LFY+3 "&amp;BI6</f>
        <v>LFY+3 P/E</v>
      </c>
      <c r="BM7" s="68" t="str">
        <f>"LTM "&amp;BM6</f>
        <v>LTM P/BV</v>
      </c>
      <c r="BN7" s="69" t="str">
        <f>"LFY+1 "&amp;BM6</f>
        <v>LFY+1 P/BV</v>
      </c>
      <c r="BO7" s="69" t="str">
        <f>"LFY+2 "&amp;BM6</f>
        <v>LFY+2 P/BV</v>
      </c>
      <c r="BP7" s="70" t="str">
        <f>"LFY+3 "&amp;BM6</f>
        <v>LFY+3 P/BV</v>
      </c>
    </row>
    <row r="8" spans="1:68" s="4" customFormat="1" x14ac:dyDescent="0.15">
      <c r="B8" s="151">
        <v>1</v>
      </c>
      <c r="C8" s="150" t="s">
        <v>85</v>
      </c>
      <c r="D8" s="146">
        <v>1000</v>
      </c>
      <c r="E8" s="147">
        <v>1200</v>
      </c>
      <c r="F8" s="148">
        <v>600</v>
      </c>
      <c r="G8" s="146">
        <v>606</v>
      </c>
      <c r="H8" s="146">
        <v>612.06000000000006</v>
      </c>
      <c r="I8" s="146">
        <v>618.18060000000003</v>
      </c>
      <c r="J8" s="147">
        <v>624.36240600000008</v>
      </c>
      <c r="K8" s="146">
        <v>200</v>
      </c>
      <c r="L8" s="146">
        <v>202</v>
      </c>
      <c r="M8" s="146">
        <v>204.02</v>
      </c>
      <c r="N8" s="146">
        <v>206.06020000000001</v>
      </c>
      <c r="O8" s="146">
        <v>208.120802</v>
      </c>
      <c r="P8" s="148">
        <v>100</v>
      </c>
      <c r="Q8" s="146">
        <v>101</v>
      </c>
      <c r="R8" s="146">
        <v>102.01</v>
      </c>
      <c r="S8" s="146">
        <v>103.0301</v>
      </c>
      <c r="T8" s="146">
        <v>104.060401</v>
      </c>
      <c r="U8" s="149">
        <v>800</v>
      </c>
      <c r="V8" s="146">
        <v>808</v>
      </c>
      <c r="W8" s="146">
        <v>816.08</v>
      </c>
      <c r="X8" s="147">
        <v>824.24080000000004</v>
      </c>
      <c r="Y8" s="27">
        <f t="shared" ref="Y8:Y17" si="0">G8/F8-1</f>
        <v>1.0000000000000009E-2</v>
      </c>
      <c r="Z8" s="27">
        <f t="shared" ref="Z8:Z17" si="1">H8/G8-1</f>
        <v>1.0000000000000009E-2</v>
      </c>
      <c r="AA8" s="27">
        <f t="shared" ref="AA8:AA17" si="2">I8/H8-1</f>
        <v>1.0000000000000009E-2</v>
      </c>
      <c r="AB8" s="28">
        <f t="shared" ref="AB8:AB17" si="3">J8/I8-1</f>
        <v>1.0000000000000009E-2</v>
      </c>
      <c r="AC8" s="27">
        <f t="shared" ref="AC8:AC17" si="4">L8/K8-1</f>
        <v>1.0000000000000009E-2</v>
      </c>
      <c r="AD8" s="27">
        <f t="shared" ref="AD8:AD17" si="5">M8/L8-1</f>
        <v>1.0000000000000009E-2</v>
      </c>
      <c r="AE8" s="27">
        <f t="shared" ref="AE8:AE17" si="6">N8/M8-1</f>
        <v>1.0000000000000009E-2</v>
      </c>
      <c r="AF8" s="28">
        <f t="shared" ref="AF8:AF17" si="7">O8/N8-1</f>
        <v>1.0000000000000009E-2</v>
      </c>
      <c r="AG8" s="27">
        <f t="shared" ref="AG8:AG17" si="8">L8/G8</f>
        <v>0.33333333333333331</v>
      </c>
      <c r="AH8" s="27">
        <f t="shared" ref="AH8:AH17" si="9">M8/H8</f>
        <v>0.33333333333333331</v>
      </c>
      <c r="AI8" s="27">
        <f t="shared" ref="AI8:AI17" si="10">N8/I8</f>
        <v>0.33333333333333331</v>
      </c>
      <c r="AJ8" s="28">
        <f t="shared" ref="AJ8:AJ17" si="11">O8/J8</f>
        <v>0.33333333333333331</v>
      </c>
      <c r="AK8" s="86">
        <f>Q8/U8</f>
        <v>0.12625</v>
      </c>
      <c r="AL8" s="27">
        <f t="shared" ref="AL8:AL17" si="12">R8/V8</f>
        <v>0.12625</v>
      </c>
      <c r="AM8" s="27">
        <f t="shared" ref="AM8:AM17" si="13">S8/W8</f>
        <v>0.12625</v>
      </c>
      <c r="AN8" s="27">
        <f t="shared" ref="AN8:AN17" si="14">T8/X8</f>
        <v>0.12625</v>
      </c>
      <c r="AO8" s="86">
        <f>Q8/P8-1</f>
        <v>1.0000000000000009E-2</v>
      </c>
      <c r="AP8" s="27">
        <f>R8/Q8-1</f>
        <v>1.0000000000000009E-2</v>
      </c>
      <c r="AQ8" s="27">
        <f t="shared" ref="AQ8:AQ17" si="15">S8/R8-1</f>
        <v>1.0000000000000009E-2</v>
      </c>
      <c r="AR8" s="27">
        <f t="shared" ref="AR8:AR17" si="16">T8/S8-1</f>
        <v>1.0000000000000009E-2</v>
      </c>
      <c r="AS8" s="31">
        <f t="shared" ref="AS8:AS17" si="17">Q8/G8</f>
        <v>0.16666666666666666</v>
      </c>
      <c r="AT8" s="27">
        <f t="shared" ref="AT8:AT17" si="18">R8/H8</f>
        <v>0.16666666666666666</v>
      </c>
      <c r="AU8" s="27">
        <f t="shared" ref="AU8:AU17" si="19">S8/I8</f>
        <v>0.16666666666666666</v>
      </c>
      <c r="AV8" s="27">
        <f t="shared" ref="AV8:AV17" si="20">T8/J8</f>
        <v>0.16666666666666666</v>
      </c>
      <c r="AW8" s="71">
        <f>$E8/G8</f>
        <v>1.9801980198019802</v>
      </c>
      <c r="AX8" s="29">
        <f t="shared" ref="AX8:AX17" si="21">$E8/H8</f>
        <v>1.9605920988138417</v>
      </c>
      <c r="AY8" s="29">
        <f t="shared" ref="AY8:AY17" si="22">$E8/I8</f>
        <v>1.9411802958552888</v>
      </c>
      <c r="AZ8" s="29">
        <f t="shared" ref="AZ8:AZ17" si="23">$E8/J8</f>
        <v>1.9219606889656324</v>
      </c>
      <c r="BA8" s="71">
        <f>$D8/G8</f>
        <v>1.6501650165016502</v>
      </c>
      <c r="BB8" s="29">
        <f t="shared" ref="BB8:BB17" si="24">$D8/H8</f>
        <v>1.6338267490115346</v>
      </c>
      <c r="BC8" s="29">
        <f t="shared" ref="BC8:BC17" si="25">$D8/I8</f>
        <v>1.617650246546074</v>
      </c>
      <c r="BD8" s="29">
        <f t="shared" ref="BD8:BD17" si="26">$D8/J8</f>
        <v>1.6016339074713604</v>
      </c>
      <c r="BE8" s="71">
        <f>$E8/L8</f>
        <v>5.9405940594059405</v>
      </c>
      <c r="BF8" s="29">
        <f t="shared" ref="BF8:BF17" si="27">$E8/M8</f>
        <v>5.881776296441525</v>
      </c>
      <c r="BG8" s="29">
        <f t="shared" ref="BG8:BG17" si="28">$E8/N8</f>
        <v>5.8235408875658665</v>
      </c>
      <c r="BH8" s="29">
        <f t="shared" ref="BH8:BH17" si="29">$E8/O8</f>
        <v>5.7658820668968982</v>
      </c>
      <c r="BI8" s="71">
        <f>$D8/Q8</f>
        <v>9.9009900990099009</v>
      </c>
      <c r="BJ8" s="29">
        <f t="shared" ref="BJ8:BJ17" si="30">$D8/R8</f>
        <v>9.8029604940692092</v>
      </c>
      <c r="BK8" s="29">
        <f t="shared" ref="BK8:BK17" si="31">$D8/S8</f>
        <v>9.7059014792764433</v>
      </c>
      <c r="BL8" s="29">
        <f t="shared" ref="BL8:BL17" si="32">$D8/T8</f>
        <v>9.6098034448281631</v>
      </c>
      <c r="BM8" s="71">
        <f>$D8/U8</f>
        <v>1.25</v>
      </c>
      <c r="BN8" s="29">
        <f t="shared" ref="BN8:BN17" si="33">$D8/V8</f>
        <v>1.2376237623762376</v>
      </c>
      <c r="BO8" s="29">
        <f t="shared" ref="BO8:BO17" si="34">$D8/W8</f>
        <v>1.2253700617586512</v>
      </c>
      <c r="BP8" s="30">
        <f t="shared" ref="BP8:BP17" si="35">$D8/X8</f>
        <v>1.2132376849095554</v>
      </c>
    </row>
    <row r="9" spans="1:68" s="139" customFormat="1" ht="12" x14ac:dyDescent="0.15">
      <c r="A9" s="132"/>
      <c r="B9" s="25">
        <f>B8+1</f>
        <v>2</v>
      </c>
      <c r="C9" s="11" t="s">
        <v>86</v>
      </c>
      <c r="D9" s="73">
        <v>950</v>
      </c>
      <c r="E9" s="74">
        <v>1150</v>
      </c>
      <c r="F9" s="88">
        <v>550</v>
      </c>
      <c r="G9" s="73">
        <v>561</v>
      </c>
      <c r="H9" s="73">
        <v>572.22</v>
      </c>
      <c r="I9" s="73">
        <v>583.6644</v>
      </c>
      <c r="J9" s="74">
        <v>595.33768799999996</v>
      </c>
      <c r="K9" s="73">
        <v>175</v>
      </c>
      <c r="L9" s="73">
        <v>178.5</v>
      </c>
      <c r="M9" s="73">
        <v>182.07</v>
      </c>
      <c r="N9" s="73">
        <v>185.7114</v>
      </c>
      <c r="O9" s="73">
        <v>189.42562799999999</v>
      </c>
      <c r="P9" s="88">
        <v>125</v>
      </c>
      <c r="Q9" s="73">
        <v>127.5</v>
      </c>
      <c r="R9" s="73">
        <v>130.05000000000001</v>
      </c>
      <c r="S9" s="73">
        <v>132.65100000000001</v>
      </c>
      <c r="T9" s="73">
        <v>135.30402000000001</v>
      </c>
      <c r="U9" s="72">
        <v>850</v>
      </c>
      <c r="V9" s="73">
        <v>867</v>
      </c>
      <c r="W9" s="73">
        <v>884.34</v>
      </c>
      <c r="X9" s="74">
        <v>902.02680000000009</v>
      </c>
      <c r="Y9" s="133">
        <f t="shared" si="0"/>
        <v>2.0000000000000018E-2</v>
      </c>
      <c r="Z9" s="133">
        <f t="shared" si="1"/>
        <v>2.0000000000000018E-2</v>
      </c>
      <c r="AA9" s="133">
        <f t="shared" si="2"/>
        <v>2.0000000000000018E-2</v>
      </c>
      <c r="AB9" s="134">
        <f t="shared" si="3"/>
        <v>2.0000000000000018E-2</v>
      </c>
      <c r="AC9" s="133">
        <f t="shared" si="4"/>
        <v>2.0000000000000018E-2</v>
      </c>
      <c r="AD9" s="133">
        <f t="shared" si="5"/>
        <v>2.0000000000000018E-2</v>
      </c>
      <c r="AE9" s="133">
        <f t="shared" si="6"/>
        <v>2.0000000000000018E-2</v>
      </c>
      <c r="AF9" s="134">
        <f t="shared" si="7"/>
        <v>2.0000000000000018E-2</v>
      </c>
      <c r="AG9" s="133">
        <f t="shared" si="8"/>
        <v>0.31818181818181818</v>
      </c>
      <c r="AH9" s="133">
        <f t="shared" si="9"/>
        <v>0.31818181818181818</v>
      </c>
      <c r="AI9" s="133">
        <f t="shared" si="10"/>
        <v>0.31818181818181818</v>
      </c>
      <c r="AJ9" s="134">
        <f t="shared" si="11"/>
        <v>0.31818181818181818</v>
      </c>
      <c r="AK9" s="135">
        <f t="shared" ref="AK9:AK17" si="36">Q9/U9</f>
        <v>0.15</v>
      </c>
      <c r="AL9" s="133">
        <f t="shared" si="12"/>
        <v>0.15000000000000002</v>
      </c>
      <c r="AM9" s="133">
        <f t="shared" si="13"/>
        <v>0.15</v>
      </c>
      <c r="AN9" s="133">
        <f t="shared" si="14"/>
        <v>0.15</v>
      </c>
      <c r="AO9" s="135">
        <f t="shared" ref="AO9:AP17" si="37">Q9/P9-1</f>
        <v>2.0000000000000018E-2</v>
      </c>
      <c r="AP9" s="133">
        <f t="shared" si="37"/>
        <v>2.0000000000000018E-2</v>
      </c>
      <c r="AQ9" s="133">
        <f t="shared" si="15"/>
        <v>2.0000000000000018E-2</v>
      </c>
      <c r="AR9" s="133">
        <f t="shared" si="16"/>
        <v>2.0000000000000018E-2</v>
      </c>
      <c r="AS9" s="135">
        <f t="shared" si="17"/>
        <v>0.22727272727272727</v>
      </c>
      <c r="AT9" s="133">
        <f t="shared" si="18"/>
        <v>0.22727272727272729</v>
      </c>
      <c r="AU9" s="133">
        <f t="shared" si="19"/>
        <v>0.22727272727272729</v>
      </c>
      <c r="AV9" s="133">
        <f t="shared" si="20"/>
        <v>0.22727272727272729</v>
      </c>
      <c r="AW9" s="136">
        <f t="shared" ref="AW9:AW17" si="38">$E9/G9</f>
        <v>2.0499108734402851</v>
      </c>
      <c r="AX9" s="137">
        <f t="shared" si="21"/>
        <v>2.0097165425885146</v>
      </c>
      <c r="AY9" s="137">
        <f t="shared" si="22"/>
        <v>1.9703103358710929</v>
      </c>
      <c r="AZ9" s="137">
        <f t="shared" si="23"/>
        <v>1.9316767998736208</v>
      </c>
      <c r="BA9" s="136">
        <f t="shared" ref="BA9:BA17" si="39">$D9/G9</f>
        <v>1.6934046345811051</v>
      </c>
      <c r="BB9" s="137">
        <f t="shared" si="24"/>
        <v>1.6602006221383383</v>
      </c>
      <c r="BC9" s="137">
        <f t="shared" si="25"/>
        <v>1.6276476687630768</v>
      </c>
      <c r="BD9" s="137">
        <f t="shared" si="26"/>
        <v>1.595733008591252</v>
      </c>
      <c r="BE9" s="136">
        <f t="shared" ref="BE9:BE17" si="40">$E9/L9</f>
        <v>6.4425770308123251</v>
      </c>
      <c r="BF9" s="137">
        <f t="shared" si="27"/>
        <v>6.3162519909924759</v>
      </c>
      <c r="BG9" s="137">
        <f t="shared" si="28"/>
        <v>6.1924039127377215</v>
      </c>
      <c r="BH9" s="137">
        <f t="shared" si="29"/>
        <v>6.070984228174237</v>
      </c>
      <c r="BI9" s="136">
        <f t="shared" ref="BI9:BI17" si="41">$D9/Q9</f>
        <v>7.4509803921568629</v>
      </c>
      <c r="BJ9" s="137">
        <f t="shared" si="30"/>
        <v>7.304882737408688</v>
      </c>
      <c r="BK9" s="137">
        <f t="shared" si="31"/>
        <v>7.1616497425575378</v>
      </c>
      <c r="BL9" s="137">
        <f t="shared" si="32"/>
        <v>7.0212252378015076</v>
      </c>
      <c r="BM9" s="136">
        <f t="shared" ref="BM9:BM17" si="42">$D9/U9</f>
        <v>1.1176470588235294</v>
      </c>
      <c r="BN9" s="137">
        <f t="shared" si="33"/>
        <v>1.0957324106113033</v>
      </c>
      <c r="BO9" s="137">
        <f t="shared" si="34"/>
        <v>1.0742474613836306</v>
      </c>
      <c r="BP9" s="138">
        <f t="shared" si="35"/>
        <v>1.0531837856702262</v>
      </c>
    </row>
    <row r="10" spans="1:68" s="139" customFormat="1" ht="12" x14ac:dyDescent="0.15">
      <c r="A10" s="132"/>
      <c r="B10" s="25">
        <f t="shared" ref="B10:B17" si="43">B9+1</f>
        <v>3</v>
      </c>
      <c r="C10" s="11" t="s">
        <v>87</v>
      </c>
      <c r="D10" s="73">
        <v>900</v>
      </c>
      <c r="E10" s="74">
        <v>1100</v>
      </c>
      <c r="F10" s="88">
        <v>500</v>
      </c>
      <c r="G10" s="73">
        <v>515</v>
      </c>
      <c r="H10" s="73">
        <v>530.45000000000005</v>
      </c>
      <c r="I10" s="73">
        <v>546.36350000000004</v>
      </c>
      <c r="J10" s="74">
        <v>562.75440500000002</v>
      </c>
      <c r="K10" s="73">
        <v>150</v>
      </c>
      <c r="L10" s="73">
        <v>154.5</v>
      </c>
      <c r="M10" s="73">
        <v>159.13499999999999</v>
      </c>
      <c r="N10" s="73">
        <v>163.90905000000001</v>
      </c>
      <c r="O10" s="73">
        <v>168.82632150000001</v>
      </c>
      <c r="P10" s="88">
        <v>100</v>
      </c>
      <c r="Q10" s="73">
        <v>103</v>
      </c>
      <c r="R10" s="73">
        <v>106.09</v>
      </c>
      <c r="S10" s="73">
        <v>109.2727</v>
      </c>
      <c r="T10" s="73">
        <v>112.550881</v>
      </c>
      <c r="U10" s="72">
        <v>800</v>
      </c>
      <c r="V10" s="73">
        <v>824</v>
      </c>
      <c r="W10" s="73">
        <v>848.72</v>
      </c>
      <c r="X10" s="74">
        <v>874.1816</v>
      </c>
      <c r="Y10" s="133">
        <f t="shared" si="0"/>
        <v>3.0000000000000027E-2</v>
      </c>
      <c r="Z10" s="133">
        <f t="shared" si="1"/>
        <v>3.0000000000000027E-2</v>
      </c>
      <c r="AA10" s="133">
        <f t="shared" si="2"/>
        <v>3.0000000000000027E-2</v>
      </c>
      <c r="AB10" s="134">
        <f t="shared" si="3"/>
        <v>3.0000000000000027E-2</v>
      </c>
      <c r="AC10" s="133">
        <f t="shared" si="4"/>
        <v>3.0000000000000027E-2</v>
      </c>
      <c r="AD10" s="133">
        <f t="shared" si="5"/>
        <v>3.0000000000000027E-2</v>
      </c>
      <c r="AE10" s="133">
        <f t="shared" si="6"/>
        <v>3.0000000000000027E-2</v>
      </c>
      <c r="AF10" s="134">
        <f t="shared" si="7"/>
        <v>3.0000000000000027E-2</v>
      </c>
      <c r="AG10" s="133">
        <f t="shared" si="8"/>
        <v>0.3</v>
      </c>
      <c r="AH10" s="133">
        <f t="shared" si="9"/>
        <v>0.29999999999999993</v>
      </c>
      <c r="AI10" s="133">
        <f t="shared" si="10"/>
        <v>0.3</v>
      </c>
      <c r="AJ10" s="134">
        <f t="shared" si="11"/>
        <v>0.3</v>
      </c>
      <c r="AK10" s="135">
        <f t="shared" si="36"/>
        <v>0.12875</v>
      </c>
      <c r="AL10" s="133">
        <f t="shared" si="12"/>
        <v>0.12875</v>
      </c>
      <c r="AM10" s="133">
        <f t="shared" si="13"/>
        <v>0.12875</v>
      </c>
      <c r="AN10" s="133">
        <f t="shared" si="14"/>
        <v>0.12875</v>
      </c>
      <c r="AO10" s="135">
        <f t="shared" si="37"/>
        <v>3.0000000000000027E-2</v>
      </c>
      <c r="AP10" s="133">
        <f t="shared" si="37"/>
        <v>3.0000000000000027E-2</v>
      </c>
      <c r="AQ10" s="133">
        <f t="shared" si="15"/>
        <v>3.0000000000000027E-2</v>
      </c>
      <c r="AR10" s="133">
        <f t="shared" si="16"/>
        <v>3.0000000000000027E-2</v>
      </c>
      <c r="AS10" s="135">
        <f t="shared" si="17"/>
        <v>0.2</v>
      </c>
      <c r="AT10" s="133">
        <f t="shared" si="18"/>
        <v>0.19999999999999998</v>
      </c>
      <c r="AU10" s="133">
        <f t="shared" si="19"/>
        <v>0.19999999999999998</v>
      </c>
      <c r="AV10" s="133">
        <f t="shared" si="20"/>
        <v>0.2</v>
      </c>
      <c r="AW10" s="136">
        <f t="shared" si="38"/>
        <v>2.1359223300970873</v>
      </c>
      <c r="AX10" s="137">
        <f t="shared" si="21"/>
        <v>2.0737110000942596</v>
      </c>
      <c r="AY10" s="137">
        <f t="shared" si="22"/>
        <v>2.0133116505769508</v>
      </c>
      <c r="AZ10" s="137">
        <f t="shared" si="23"/>
        <v>1.9546715054145156</v>
      </c>
      <c r="BA10" s="136">
        <f t="shared" si="39"/>
        <v>1.7475728155339805</v>
      </c>
      <c r="BB10" s="137">
        <f t="shared" si="24"/>
        <v>1.6966726364407576</v>
      </c>
      <c r="BC10" s="137">
        <f t="shared" si="25"/>
        <v>1.6472549868356872</v>
      </c>
      <c r="BD10" s="137">
        <f t="shared" si="26"/>
        <v>1.5992766862482399</v>
      </c>
      <c r="BE10" s="136">
        <f t="shared" si="40"/>
        <v>7.1197411003236244</v>
      </c>
      <c r="BF10" s="137">
        <f t="shared" si="27"/>
        <v>6.9123700003141995</v>
      </c>
      <c r="BG10" s="137">
        <f t="shared" si="28"/>
        <v>6.7110388352565034</v>
      </c>
      <c r="BH10" s="137">
        <f t="shared" si="29"/>
        <v>6.5155716847150513</v>
      </c>
      <c r="BI10" s="136">
        <f t="shared" si="41"/>
        <v>8.7378640776699026</v>
      </c>
      <c r="BJ10" s="137">
        <f t="shared" si="30"/>
        <v>8.4833631822037887</v>
      </c>
      <c r="BK10" s="137">
        <f t="shared" si="31"/>
        <v>8.2362749341784358</v>
      </c>
      <c r="BL10" s="137">
        <f t="shared" si="32"/>
        <v>7.9963834312411999</v>
      </c>
      <c r="BM10" s="136">
        <f t="shared" si="42"/>
        <v>1.125</v>
      </c>
      <c r="BN10" s="137">
        <f t="shared" si="33"/>
        <v>1.0922330097087378</v>
      </c>
      <c r="BO10" s="137">
        <f t="shared" si="34"/>
        <v>1.0604203977754736</v>
      </c>
      <c r="BP10" s="138">
        <f t="shared" si="35"/>
        <v>1.0295343667723045</v>
      </c>
    </row>
    <row r="11" spans="1:68" s="139" customFormat="1" ht="12" x14ac:dyDescent="0.15">
      <c r="A11" s="132"/>
      <c r="B11" s="25">
        <f t="shared" si="43"/>
        <v>4</v>
      </c>
      <c r="C11" s="11" t="s">
        <v>88</v>
      </c>
      <c r="D11" s="73">
        <v>850</v>
      </c>
      <c r="E11" s="74">
        <v>1050</v>
      </c>
      <c r="F11" s="88">
        <v>450</v>
      </c>
      <c r="G11" s="73">
        <v>468</v>
      </c>
      <c r="H11" s="73">
        <v>486.72</v>
      </c>
      <c r="I11" s="73">
        <v>506.18880000000007</v>
      </c>
      <c r="J11" s="74">
        <v>526.43635200000006</v>
      </c>
      <c r="K11" s="73">
        <v>175</v>
      </c>
      <c r="L11" s="73">
        <v>182</v>
      </c>
      <c r="M11" s="73">
        <v>189.28</v>
      </c>
      <c r="N11" s="73">
        <v>196.85120000000001</v>
      </c>
      <c r="O11" s="73">
        <v>204.72524800000002</v>
      </c>
      <c r="P11" s="88">
        <v>100</v>
      </c>
      <c r="Q11" s="73">
        <v>104</v>
      </c>
      <c r="R11" s="73">
        <v>108.16</v>
      </c>
      <c r="S11" s="73">
        <v>112.4864</v>
      </c>
      <c r="T11" s="73">
        <v>116.98585600000001</v>
      </c>
      <c r="U11" s="72">
        <v>700</v>
      </c>
      <c r="V11" s="73">
        <v>728</v>
      </c>
      <c r="W11" s="73">
        <v>757.12</v>
      </c>
      <c r="X11" s="74">
        <v>787.40480000000002</v>
      </c>
      <c r="Y11" s="133">
        <f t="shared" si="0"/>
        <v>4.0000000000000036E-2</v>
      </c>
      <c r="Z11" s="133">
        <f t="shared" si="1"/>
        <v>4.0000000000000036E-2</v>
      </c>
      <c r="AA11" s="133">
        <f t="shared" si="2"/>
        <v>4.0000000000000036E-2</v>
      </c>
      <c r="AB11" s="134">
        <f t="shared" si="3"/>
        <v>4.0000000000000036E-2</v>
      </c>
      <c r="AC11" s="133">
        <f t="shared" si="4"/>
        <v>4.0000000000000036E-2</v>
      </c>
      <c r="AD11" s="133">
        <f t="shared" si="5"/>
        <v>4.0000000000000036E-2</v>
      </c>
      <c r="AE11" s="133">
        <f t="shared" si="6"/>
        <v>4.0000000000000036E-2</v>
      </c>
      <c r="AF11" s="134">
        <f t="shared" si="7"/>
        <v>4.0000000000000036E-2</v>
      </c>
      <c r="AG11" s="133">
        <f t="shared" si="8"/>
        <v>0.3888888888888889</v>
      </c>
      <c r="AH11" s="133">
        <f t="shared" si="9"/>
        <v>0.3888888888888889</v>
      </c>
      <c r="AI11" s="133">
        <f t="shared" si="10"/>
        <v>0.38888888888888884</v>
      </c>
      <c r="AJ11" s="134">
        <f t="shared" si="11"/>
        <v>0.3888888888888889</v>
      </c>
      <c r="AK11" s="135">
        <f t="shared" si="36"/>
        <v>0.14857142857142858</v>
      </c>
      <c r="AL11" s="133">
        <f t="shared" si="12"/>
        <v>0.14857142857142858</v>
      </c>
      <c r="AM11" s="133">
        <f t="shared" si="13"/>
        <v>0.14857142857142858</v>
      </c>
      <c r="AN11" s="133">
        <f t="shared" si="14"/>
        <v>0.14857142857142858</v>
      </c>
      <c r="AO11" s="135">
        <f t="shared" si="37"/>
        <v>4.0000000000000036E-2</v>
      </c>
      <c r="AP11" s="133">
        <f t="shared" si="37"/>
        <v>4.0000000000000036E-2</v>
      </c>
      <c r="AQ11" s="133">
        <f t="shared" si="15"/>
        <v>4.0000000000000036E-2</v>
      </c>
      <c r="AR11" s="133">
        <f t="shared" si="16"/>
        <v>4.0000000000000036E-2</v>
      </c>
      <c r="AS11" s="135">
        <f t="shared" si="17"/>
        <v>0.22222222222222221</v>
      </c>
      <c r="AT11" s="133">
        <f t="shared" si="18"/>
        <v>0.22222222222222221</v>
      </c>
      <c r="AU11" s="133">
        <f t="shared" si="19"/>
        <v>0.22222222222222221</v>
      </c>
      <c r="AV11" s="133">
        <f t="shared" si="20"/>
        <v>0.22222222222222221</v>
      </c>
      <c r="AW11" s="136">
        <f t="shared" si="38"/>
        <v>2.2435897435897436</v>
      </c>
      <c r="AX11" s="137">
        <f t="shared" si="21"/>
        <v>2.1572978303747532</v>
      </c>
      <c r="AY11" s="137">
        <f t="shared" si="22"/>
        <v>2.0743248368988012</v>
      </c>
      <c r="AZ11" s="137">
        <f t="shared" si="23"/>
        <v>1.9945431124026933</v>
      </c>
      <c r="BA11" s="136">
        <f t="shared" si="39"/>
        <v>1.8162393162393162</v>
      </c>
      <c r="BB11" s="137">
        <f t="shared" si="24"/>
        <v>1.7463839579224194</v>
      </c>
      <c r="BC11" s="137">
        <f t="shared" si="25"/>
        <v>1.6792153441561724</v>
      </c>
      <c r="BD11" s="137">
        <f t="shared" si="26"/>
        <v>1.6146301386117041</v>
      </c>
      <c r="BE11" s="136">
        <f t="shared" si="40"/>
        <v>5.7692307692307692</v>
      </c>
      <c r="BF11" s="137">
        <f t="shared" si="27"/>
        <v>5.5473372781065091</v>
      </c>
      <c r="BG11" s="137">
        <f t="shared" si="28"/>
        <v>5.3339781520254892</v>
      </c>
      <c r="BH11" s="137">
        <f t="shared" si="29"/>
        <v>5.1288251461783547</v>
      </c>
      <c r="BI11" s="136">
        <f t="shared" si="41"/>
        <v>8.1730769230769234</v>
      </c>
      <c r="BJ11" s="137">
        <f t="shared" si="30"/>
        <v>7.8587278106508878</v>
      </c>
      <c r="BK11" s="137">
        <f t="shared" si="31"/>
        <v>7.5564690487027759</v>
      </c>
      <c r="BL11" s="137">
        <f t="shared" si="32"/>
        <v>7.2658356237526691</v>
      </c>
      <c r="BM11" s="136">
        <f t="shared" si="42"/>
        <v>1.2142857142857142</v>
      </c>
      <c r="BN11" s="137">
        <f t="shared" si="33"/>
        <v>1.1675824175824177</v>
      </c>
      <c r="BO11" s="137">
        <f t="shared" si="34"/>
        <v>1.1226754015215554</v>
      </c>
      <c r="BP11" s="138">
        <f t="shared" si="35"/>
        <v>1.0794955783861109</v>
      </c>
    </row>
    <row r="12" spans="1:68" s="139" customFormat="1" ht="12" x14ac:dyDescent="0.15">
      <c r="A12" s="132"/>
      <c r="B12" s="25">
        <f t="shared" si="43"/>
        <v>5</v>
      </c>
      <c r="C12" s="11" t="s">
        <v>89</v>
      </c>
      <c r="D12" s="73">
        <v>800</v>
      </c>
      <c r="E12" s="74">
        <v>1000</v>
      </c>
      <c r="F12" s="88">
        <v>400</v>
      </c>
      <c r="G12" s="73">
        <v>420</v>
      </c>
      <c r="H12" s="73">
        <v>441</v>
      </c>
      <c r="I12" s="73">
        <v>463.05</v>
      </c>
      <c r="J12" s="74">
        <v>486.20250000000004</v>
      </c>
      <c r="K12" s="73">
        <v>200</v>
      </c>
      <c r="L12" s="73">
        <v>210</v>
      </c>
      <c r="M12" s="73">
        <v>220.5</v>
      </c>
      <c r="N12" s="73">
        <v>231.52500000000001</v>
      </c>
      <c r="O12" s="73">
        <v>243.10125000000002</v>
      </c>
      <c r="P12" s="88">
        <v>100</v>
      </c>
      <c r="Q12" s="73">
        <v>105</v>
      </c>
      <c r="R12" s="73">
        <v>110.25</v>
      </c>
      <c r="S12" s="73">
        <v>115.7625</v>
      </c>
      <c r="T12" s="73">
        <v>121.55062500000001</v>
      </c>
      <c r="U12" s="72">
        <v>650</v>
      </c>
      <c r="V12" s="73">
        <v>682.5</v>
      </c>
      <c r="W12" s="73">
        <v>716.625</v>
      </c>
      <c r="X12" s="74">
        <v>752.45625000000007</v>
      </c>
      <c r="Y12" s="133">
        <f t="shared" si="0"/>
        <v>5.0000000000000044E-2</v>
      </c>
      <c r="Z12" s="133">
        <f t="shared" si="1"/>
        <v>5.0000000000000044E-2</v>
      </c>
      <c r="AA12" s="133">
        <f t="shared" si="2"/>
        <v>5.0000000000000044E-2</v>
      </c>
      <c r="AB12" s="134">
        <f t="shared" si="3"/>
        <v>5.0000000000000044E-2</v>
      </c>
      <c r="AC12" s="133">
        <f t="shared" si="4"/>
        <v>5.0000000000000044E-2</v>
      </c>
      <c r="AD12" s="133">
        <f t="shared" si="5"/>
        <v>5.0000000000000044E-2</v>
      </c>
      <c r="AE12" s="133">
        <f t="shared" si="6"/>
        <v>5.0000000000000044E-2</v>
      </c>
      <c r="AF12" s="134">
        <f t="shared" si="7"/>
        <v>5.0000000000000044E-2</v>
      </c>
      <c r="AG12" s="133">
        <f t="shared" si="8"/>
        <v>0.5</v>
      </c>
      <c r="AH12" s="133">
        <f t="shared" si="9"/>
        <v>0.5</v>
      </c>
      <c r="AI12" s="133">
        <f t="shared" si="10"/>
        <v>0.5</v>
      </c>
      <c r="AJ12" s="134">
        <f t="shared" si="11"/>
        <v>0.5</v>
      </c>
      <c r="AK12" s="135">
        <f t="shared" si="36"/>
        <v>0.16153846153846155</v>
      </c>
      <c r="AL12" s="133">
        <f t="shared" si="12"/>
        <v>0.16153846153846155</v>
      </c>
      <c r="AM12" s="133">
        <f t="shared" si="13"/>
        <v>0.16153846153846155</v>
      </c>
      <c r="AN12" s="133">
        <f t="shared" si="14"/>
        <v>0.16153846153846155</v>
      </c>
      <c r="AO12" s="135">
        <f t="shared" si="37"/>
        <v>5.0000000000000044E-2</v>
      </c>
      <c r="AP12" s="133">
        <f t="shared" si="37"/>
        <v>5.0000000000000044E-2</v>
      </c>
      <c r="AQ12" s="133">
        <f t="shared" si="15"/>
        <v>5.0000000000000044E-2</v>
      </c>
      <c r="AR12" s="133">
        <f t="shared" si="16"/>
        <v>5.0000000000000044E-2</v>
      </c>
      <c r="AS12" s="135">
        <f t="shared" si="17"/>
        <v>0.25</v>
      </c>
      <c r="AT12" s="133">
        <f t="shared" si="18"/>
        <v>0.25</v>
      </c>
      <c r="AU12" s="133">
        <f t="shared" si="19"/>
        <v>0.25</v>
      </c>
      <c r="AV12" s="133">
        <f t="shared" si="20"/>
        <v>0.25</v>
      </c>
      <c r="AW12" s="136">
        <f t="shared" si="38"/>
        <v>2.3809523809523809</v>
      </c>
      <c r="AX12" s="137">
        <f t="shared" si="21"/>
        <v>2.2675736961451247</v>
      </c>
      <c r="AY12" s="137">
        <f t="shared" si="22"/>
        <v>2.1595939963286903</v>
      </c>
      <c r="AZ12" s="137">
        <f t="shared" si="23"/>
        <v>2.0567561869797046</v>
      </c>
      <c r="BA12" s="136">
        <f t="shared" si="39"/>
        <v>1.9047619047619047</v>
      </c>
      <c r="BB12" s="137">
        <f t="shared" si="24"/>
        <v>1.8140589569160999</v>
      </c>
      <c r="BC12" s="137">
        <f t="shared" si="25"/>
        <v>1.727675197062952</v>
      </c>
      <c r="BD12" s="137">
        <f t="shared" si="26"/>
        <v>1.6454049495837637</v>
      </c>
      <c r="BE12" s="136">
        <f t="shared" si="40"/>
        <v>4.7619047619047619</v>
      </c>
      <c r="BF12" s="137">
        <f t="shared" si="27"/>
        <v>4.5351473922902494</v>
      </c>
      <c r="BG12" s="137">
        <f t="shared" si="28"/>
        <v>4.3191879926573806</v>
      </c>
      <c r="BH12" s="137">
        <f t="shared" si="29"/>
        <v>4.1135123739594093</v>
      </c>
      <c r="BI12" s="136">
        <f t="shared" si="41"/>
        <v>7.6190476190476186</v>
      </c>
      <c r="BJ12" s="137">
        <f t="shared" si="30"/>
        <v>7.2562358276643995</v>
      </c>
      <c r="BK12" s="137">
        <f t="shared" si="31"/>
        <v>6.9107007882518081</v>
      </c>
      <c r="BL12" s="137">
        <f t="shared" si="32"/>
        <v>6.5816197983350548</v>
      </c>
      <c r="BM12" s="136">
        <f t="shared" si="42"/>
        <v>1.2307692307692308</v>
      </c>
      <c r="BN12" s="137">
        <f t="shared" si="33"/>
        <v>1.1721611721611722</v>
      </c>
      <c r="BO12" s="137">
        <f t="shared" si="34"/>
        <v>1.1163439734868306</v>
      </c>
      <c r="BP12" s="138">
        <f t="shared" si="35"/>
        <v>1.0631847366541243</v>
      </c>
    </row>
    <row r="13" spans="1:68" s="139" customFormat="1" ht="12" x14ac:dyDescent="0.15">
      <c r="A13" s="132"/>
      <c r="B13" s="25">
        <f t="shared" si="43"/>
        <v>6</v>
      </c>
      <c r="C13" s="11" t="s">
        <v>90</v>
      </c>
      <c r="D13" s="73">
        <v>750</v>
      </c>
      <c r="E13" s="74">
        <v>950</v>
      </c>
      <c r="F13" s="88">
        <v>350</v>
      </c>
      <c r="G13" s="73">
        <v>371</v>
      </c>
      <c r="H13" s="73">
        <v>393.26000000000005</v>
      </c>
      <c r="I13" s="73">
        <v>416.85560000000009</v>
      </c>
      <c r="J13" s="74">
        <v>441.86693600000012</v>
      </c>
      <c r="K13" s="73">
        <v>150</v>
      </c>
      <c r="L13" s="73">
        <v>159</v>
      </c>
      <c r="M13" s="73">
        <v>168.54000000000002</v>
      </c>
      <c r="N13" s="73">
        <v>178.65240000000003</v>
      </c>
      <c r="O13" s="73">
        <v>189.37154400000003</v>
      </c>
      <c r="P13" s="88">
        <v>100</v>
      </c>
      <c r="Q13" s="73">
        <v>106</v>
      </c>
      <c r="R13" s="73">
        <v>112.36</v>
      </c>
      <c r="S13" s="73">
        <v>119.1016</v>
      </c>
      <c r="T13" s="73">
        <v>126.247696</v>
      </c>
      <c r="U13" s="72">
        <v>500</v>
      </c>
      <c r="V13" s="73">
        <v>530</v>
      </c>
      <c r="W13" s="73">
        <v>561.80000000000007</v>
      </c>
      <c r="X13" s="74">
        <v>595.50800000000015</v>
      </c>
      <c r="Y13" s="133">
        <f t="shared" si="0"/>
        <v>6.0000000000000053E-2</v>
      </c>
      <c r="Z13" s="133">
        <f t="shared" si="1"/>
        <v>6.0000000000000053E-2</v>
      </c>
      <c r="AA13" s="133">
        <f t="shared" si="2"/>
        <v>6.0000000000000053E-2</v>
      </c>
      <c r="AB13" s="134">
        <f t="shared" si="3"/>
        <v>6.0000000000000053E-2</v>
      </c>
      <c r="AC13" s="133">
        <f t="shared" si="4"/>
        <v>6.0000000000000053E-2</v>
      </c>
      <c r="AD13" s="133">
        <f t="shared" si="5"/>
        <v>6.0000000000000053E-2</v>
      </c>
      <c r="AE13" s="133">
        <f t="shared" si="6"/>
        <v>6.0000000000000053E-2</v>
      </c>
      <c r="AF13" s="134">
        <f t="shared" si="7"/>
        <v>6.0000000000000053E-2</v>
      </c>
      <c r="AG13" s="133">
        <f t="shared" si="8"/>
        <v>0.42857142857142855</v>
      </c>
      <c r="AH13" s="133">
        <f t="shared" si="9"/>
        <v>0.42857142857142855</v>
      </c>
      <c r="AI13" s="133">
        <f t="shared" si="10"/>
        <v>0.42857142857142855</v>
      </c>
      <c r="AJ13" s="134">
        <f t="shared" si="11"/>
        <v>0.42857142857142849</v>
      </c>
      <c r="AK13" s="135">
        <f t="shared" si="36"/>
        <v>0.21199999999999999</v>
      </c>
      <c r="AL13" s="133">
        <f t="shared" si="12"/>
        <v>0.21199999999999999</v>
      </c>
      <c r="AM13" s="133">
        <f t="shared" si="13"/>
        <v>0.21199999999999999</v>
      </c>
      <c r="AN13" s="133">
        <f t="shared" si="14"/>
        <v>0.21199999999999997</v>
      </c>
      <c r="AO13" s="135">
        <f t="shared" si="37"/>
        <v>6.0000000000000053E-2</v>
      </c>
      <c r="AP13" s="133">
        <f t="shared" si="37"/>
        <v>6.0000000000000053E-2</v>
      </c>
      <c r="AQ13" s="133">
        <f t="shared" si="15"/>
        <v>6.0000000000000053E-2</v>
      </c>
      <c r="AR13" s="133">
        <f t="shared" si="16"/>
        <v>6.0000000000000053E-2</v>
      </c>
      <c r="AS13" s="135">
        <f t="shared" si="17"/>
        <v>0.2857142857142857</v>
      </c>
      <c r="AT13" s="133">
        <f t="shared" si="18"/>
        <v>0.2857142857142857</v>
      </c>
      <c r="AU13" s="133">
        <f t="shared" si="19"/>
        <v>0.28571428571428564</v>
      </c>
      <c r="AV13" s="133">
        <f t="shared" si="20"/>
        <v>0.28571428571428564</v>
      </c>
      <c r="AW13" s="136">
        <f t="shared" si="38"/>
        <v>2.5606469002695418</v>
      </c>
      <c r="AX13" s="137">
        <f t="shared" si="21"/>
        <v>2.4157046228957939</v>
      </c>
      <c r="AY13" s="137">
        <f t="shared" si="22"/>
        <v>2.27896662537339</v>
      </c>
      <c r="AZ13" s="137">
        <f t="shared" si="23"/>
        <v>2.1499685145031981</v>
      </c>
      <c r="BA13" s="136">
        <f t="shared" si="39"/>
        <v>2.0215633423180592</v>
      </c>
      <c r="BB13" s="137">
        <f t="shared" si="24"/>
        <v>1.9071352286019425</v>
      </c>
      <c r="BC13" s="137">
        <f t="shared" si="25"/>
        <v>1.7991841779263607</v>
      </c>
      <c r="BD13" s="137">
        <f t="shared" si="26"/>
        <v>1.6973435640814722</v>
      </c>
      <c r="BE13" s="136">
        <f t="shared" si="40"/>
        <v>5.9748427672955975</v>
      </c>
      <c r="BF13" s="137">
        <f t="shared" si="27"/>
        <v>5.6366441200901853</v>
      </c>
      <c r="BG13" s="137">
        <f t="shared" si="28"/>
        <v>5.3175887925379106</v>
      </c>
      <c r="BH13" s="137">
        <f t="shared" si="29"/>
        <v>5.0165932005074634</v>
      </c>
      <c r="BI13" s="136">
        <f t="shared" si="41"/>
        <v>7.0754716981132075</v>
      </c>
      <c r="BJ13" s="137">
        <f t="shared" si="30"/>
        <v>6.6749733001067995</v>
      </c>
      <c r="BK13" s="137">
        <f t="shared" si="31"/>
        <v>6.2971446227422634</v>
      </c>
      <c r="BL13" s="137">
        <f t="shared" si="32"/>
        <v>5.9407024742851542</v>
      </c>
      <c r="BM13" s="136">
        <f t="shared" si="42"/>
        <v>1.5</v>
      </c>
      <c r="BN13" s="137">
        <f t="shared" si="33"/>
        <v>1.4150943396226414</v>
      </c>
      <c r="BO13" s="137">
        <f t="shared" si="34"/>
        <v>1.3349946600213598</v>
      </c>
      <c r="BP13" s="138">
        <f t="shared" si="35"/>
        <v>1.2594289245484525</v>
      </c>
    </row>
    <row r="14" spans="1:68" s="139" customFormat="1" ht="12" x14ac:dyDescent="0.15">
      <c r="A14" s="132"/>
      <c r="B14" s="25">
        <f t="shared" si="43"/>
        <v>7</v>
      </c>
      <c r="C14" s="11" t="s">
        <v>91</v>
      </c>
      <c r="D14" s="73">
        <v>700</v>
      </c>
      <c r="E14" s="74">
        <v>900</v>
      </c>
      <c r="F14" s="88">
        <v>300</v>
      </c>
      <c r="G14" s="73">
        <v>321</v>
      </c>
      <c r="H14" s="73">
        <v>343.47</v>
      </c>
      <c r="I14" s="73">
        <v>367.51290000000006</v>
      </c>
      <c r="J14" s="74">
        <v>393.23880300000008</v>
      </c>
      <c r="K14" s="73">
        <v>125</v>
      </c>
      <c r="L14" s="73">
        <v>133.75</v>
      </c>
      <c r="M14" s="73">
        <v>143.11250000000001</v>
      </c>
      <c r="N14" s="73">
        <v>153.13037500000002</v>
      </c>
      <c r="O14" s="73">
        <v>163.84950125000003</v>
      </c>
      <c r="P14" s="88">
        <v>50</v>
      </c>
      <c r="Q14" s="73">
        <v>53.5</v>
      </c>
      <c r="R14" s="73">
        <v>57.245000000000005</v>
      </c>
      <c r="S14" s="73">
        <v>61.252150000000007</v>
      </c>
      <c r="T14" s="73">
        <v>65.539800500000013</v>
      </c>
      <c r="U14" s="72">
        <v>550</v>
      </c>
      <c r="V14" s="73">
        <v>588.5</v>
      </c>
      <c r="W14" s="73">
        <v>629.69500000000005</v>
      </c>
      <c r="X14" s="74">
        <v>673.77365000000009</v>
      </c>
      <c r="Y14" s="133">
        <f t="shared" si="0"/>
        <v>7.0000000000000062E-2</v>
      </c>
      <c r="Z14" s="133">
        <f t="shared" si="1"/>
        <v>7.0000000000000062E-2</v>
      </c>
      <c r="AA14" s="133">
        <f t="shared" si="2"/>
        <v>7.0000000000000062E-2</v>
      </c>
      <c r="AB14" s="134">
        <f t="shared" si="3"/>
        <v>7.0000000000000062E-2</v>
      </c>
      <c r="AC14" s="133">
        <f t="shared" si="4"/>
        <v>7.0000000000000062E-2</v>
      </c>
      <c r="AD14" s="133">
        <f t="shared" si="5"/>
        <v>7.0000000000000062E-2</v>
      </c>
      <c r="AE14" s="133">
        <f t="shared" si="6"/>
        <v>7.0000000000000062E-2</v>
      </c>
      <c r="AF14" s="134">
        <f t="shared" si="7"/>
        <v>7.0000000000000062E-2</v>
      </c>
      <c r="AG14" s="133">
        <f t="shared" si="8"/>
        <v>0.41666666666666669</v>
      </c>
      <c r="AH14" s="133">
        <f t="shared" si="9"/>
        <v>0.41666666666666669</v>
      </c>
      <c r="AI14" s="133">
        <f t="shared" si="10"/>
        <v>0.41666666666666663</v>
      </c>
      <c r="AJ14" s="134">
        <f t="shared" si="11"/>
        <v>0.41666666666666669</v>
      </c>
      <c r="AK14" s="135">
        <f t="shared" si="36"/>
        <v>9.7272727272727275E-2</v>
      </c>
      <c r="AL14" s="133">
        <f t="shared" si="12"/>
        <v>9.7272727272727275E-2</v>
      </c>
      <c r="AM14" s="133">
        <f t="shared" si="13"/>
        <v>9.7272727272727275E-2</v>
      </c>
      <c r="AN14" s="133">
        <f t="shared" si="14"/>
        <v>9.7272727272727275E-2</v>
      </c>
      <c r="AO14" s="135">
        <f t="shared" si="37"/>
        <v>7.0000000000000062E-2</v>
      </c>
      <c r="AP14" s="133">
        <f t="shared" si="37"/>
        <v>7.0000000000000062E-2</v>
      </c>
      <c r="AQ14" s="133">
        <f t="shared" si="15"/>
        <v>7.0000000000000062E-2</v>
      </c>
      <c r="AR14" s="133">
        <f t="shared" si="16"/>
        <v>7.0000000000000062E-2</v>
      </c>
      <c r="AS14" s="135">
        <f t="shared" si="17"/>
        <v>0.16666666666666666</v>
      </c>
      <c r="AT14" s="133">
        <f t="shared" si="18"/>
        <v>0.16666666666666666</v>
      </c>
      <c r="AU14" s="133">
        <f t="shared" si="19"/>
        <v>0.16666666666666666</v>
      </c>
      <c r="AV14" s="133">
        <f t="shared" si="20"/>
        <v>0.16666666666666666</v>
      </c>
      <c r="AW14" s="136">
        <f t="shared" si="38"/>
        <v>2.8037383177570092</v>
      </c>
      <c r="AX14" s="137">
        <f t="shared" si="21"/>
        <v>2.6203161848196346</v>
      </c>
      <c r="AY14" s="137">
        <f t="shared" si="22"/>
        <v>2.4488936306725555</v>
      </c>
      <c r="AZ14" s="137">
        <f t="shared" si="23"/>
        <v>2.2886856361425751</v>
      </c>
      <c r="BA14" s="136">
        <f t="shared" si="39"/>
        <v>2.1806853582554515</v>
      </c>
      <c r="BB14" s="137">
        <f t="shared" si="24"/>
        <v>2.0380236993041603</v>
      </c>
      <c r="BC14" s="137">
        <f t="shared" si="25"/>
        <v>1.9046950460786543</v>
      </c>
      <c r="BD14" s="137">
        <f t="shared" si="26"/>
        <v>1.7800888281108918</v>
      </c>
      <c r="BE14" s="136">
        <f t="shared" si="40"/>
        <v>6.7289719626168223</v>
      </c>
      <c r="BF14" s="137">
        <f t="shared" si="27"/>
        <v>6.2887588435671233</v>
      </c>
      <c r="BG14" s="137">
        <f t="shared" si="28"/>
        <v>5.8773447136141339</v>
      </c>
      <c r="BH14" s="137">
        <f t="shared" si="29"/>
        <v>5.4928455267421805</v>
      </c>
      <c r="BI14" s="136">
        <f t="shared" si="41"/>
        <v>13.084112149532711</v>
      </c>
      <c r="BJ14" s="137">
        <f t="shared" si="30"/>
        <v>12.228142195824962</v>
      </c>
      <c r="BK14" s="137">
        <f t="shared" si="31"/>
        <v>11.428170276471926</v>
      </c>
      <c r="BL14" s="137">
        <f t="shared" si="32"/>
        <v>10.680532968665352</v>
      </c>
      <c r="BM14" s="136">
        <f t="shared" si="42"/>
        <v>1.2727272727272727</v>
      </c>
      <c r="BN14" s="137">
        <f t="shared" si="33"/>
        <v>1.1894647408666099</v>
      </c>
      <c r="BO14" s="137">
        <f t="shared" si="34"/>
        <v>1.1116492905295421</v>
      </c>
      <c r="BP14" s="138">
        <f t="shared" si="35"/>
        <v>1.038924570588357</v>
      </c>
    </row>
    <row r="15" spans="1:68" s="139" customFormat="1" ht="12" x14ac:dyDescent="0.15">
      <c r="A15" s="132"/>
      <c r="B15" s="25">
        <f t="shared" si="43"/>
        <v>8</v>
      </c>
      <c r="C15" s="11" t="s">
        <v>92</v>
      </c>
      <c r="D15" s="73">
        <v>650</v>
      </c>
      <c r="E15" s="74">
        <v>850</v>
      </c>
      <c r="F15" s="88">
        <v>260</v>
      </c>
      <c r="G15" s="73">
        <v>280.8</v>
      </c>
      <c r="H15" s="73">
        <v>303.26400000000001</v>
      </c>
      <c r="I15" s="73">
        <v>327.52512000000002</v>
      </c>
      <c r="J15" s="74">
        <v>353.72712960000001</v>
      </c>
      <c r="K15" s="73">
        <v>150</v>
      </c>
      <c r="L15" s="73">
        <v>162</v>
      </c>
      <c r="M15" s="73">
        <v>174.96</v>
      </c>
      <c r="N15" s="73">
        <v>188.95680000000002</v>
      </c>
      <c r="O15" s="73">
        <v>204.07334400000002</v>
      </c>
      <c r="P15" s="88">
        <v>75</v>
      </c>
      <c r="Q15" s="73">
        <v>81</v>
      </c>
      <c r="R15" s="73">
        <v>87.48</v>
      </c>
      <c r="S15" s="73">
        <v>94.478400000000008</v>
      </c>
      <c r="T15" s="73">
        <v>102.03667200000001</v>
      </c>
      <c r="U15" s="72">
        <v>550</v>
      </c>
      <c r="V15" s="73">
        <v>594</v>
      </c>
      <c r="W15" s="73">
        <v>641.5200000000001</v>
      </c>
      <c r="X15" s="74">
        <v>692.8416000000002</v>
      </c>
      <c r="Y15" s="133">
        <f t="shared" si="0"/>
        <v>8.0000000000000071E-2</v>
      </c>
      <c r="Z15" s="133">
        <f t="shared" si="1"/>
        <v>8.0000000000000071E-2</v>
      </c>
      <c r="AA15" s="133">
        <f t="shared" si="2"/>
        <v>8.0000000000000071E-2</v>
      </c>
      <c r="AB15" s="134">
        <f t="shared" si="3"/>
        <v>8.0000000000000071E-2</v>
      </c>
      <c r="AC15" s="133">
        <f t="shared" si="4"/>
        <v>8.0000000000000071E-2</v>
      </c>
      <c r="AD15" s="133">
        <f t="shared" si="5"/>
        <v>8.0000000000000071E-2</v>
      </c>
      <c r="AE15" s="133">
        <f t="shared" si="6"/>
        <v>8.0000000000000071E-2</v>
      </c>
      <c r="AF15" s="134">
        <f t="shared" si="7"/>
        <v>8.0000000000000071E-2</v>
      </c>
      <c r="AG15" s="133">
        <f t="shared" si="8"/>
        <v>0.57692307692307687</v>
      </c>
      <c r="AH15" s="133">
        <f t="shared" si="9"/>
        <v>0.57692307692307698</v>
      </c>
      <c r="AI15" s="133">
        <f t="shared" si="10"/>
        <v>0.57692307692307698</v>
      </c>
      <c r="AJ15" s="134">
        <f t="shared" si="11"/>
        <v>0.57692307692307698</v>
      </c>
      <c r="AK15" s="135">
        <f t="shared" si="36"/>
        <v>0.14727272727272728</v>
      </c>
      <c r="AL15" s="133">
        <f t="shared" si="12"/>
        <v>0.14727272727272728</v>
      </c>
      <c r="AM15" s="133">
        <f t="shared" si="13"/>
        <v>0.14727272727272725</v>
      </c>
      <c r="AN15" s="133">
        <f t="shared" si="14"/>
        <v>0.14727272727272725</v>
      </c>
      <c r="AO15" s="135">
        <f t="shared" si="37"/>
        <v>8.0000000000000071E-2</v>
      </c>
      <c r="AP15" s="133">
        <f t="shared" si="37"/>
        <v>8.0000000000000071E-2</v>
      </c>
      <c r="AQ15" s="133">
        <f t="shared" si="15"/>
        <v>8.0000000000000071E-2</v>
      </c>
      <c r="AR15" s="133">
        <f t="shared" si="16"/>
        <v>8.0000000000000071E-2</v>
      </c>
      <c r="AS15" s="135">
        <f t="shared" si="17"/>
        <v>0.28846153846153844</v>
      </c>
      <c r="AT15" s="133">
        <f t="shared" si="18"/>
        <v>0.28846153846153849</v>
      </c>
      <c r="AU15" s="133">
        <f t="shared" si="19"/>
        <v>0.28846153846153849</v>
      </c>
      <c r="AV15" s="133">
        <f t="shared" si="20"/>
        <v>0.28846153846153849</v>
      </c>
      <c r="AW15" s="136">
        <f t="shared" si="38"/>
        <v>3.0270655270655271</v>
      </c>
      <c r="AX15" s="137">
        <f t="shared" si="21"/>
        <v>2.8028384509865991</v>
      </c>
      <c r="AY15" s="137">
        <f t="shared" si="22"/>
        <v>2.5952207879505544</v>
      </c>
      <c r="AZ15" s="137">
        <f t="shared" si="23"/>
        <v>2.4029822110653285</v>
      </c>
      <c r="BA15" s="136">
        <f t="shared" si="39"/>
        <v>2.3148148148148149</v>
      </c>
      <c r="BB15" s="137">
        <f t="shared" si="24"/>
        <v>2.1433470507544583</v>
      </c>
      <c r="BC15" s="137">
        <f t="shared" si="25"/>
        <v>1.9845806025504242</v>
      </c>
      <c r="BD15" s="137">
        <f t="shared" si="26"/>
        <v>1.8375746319911335</v>
      </c>
      <c r="BE15" s="136">
        <f t="shared" si="40"/>
        <v>5.2469135802469138</v>
      </c>
      <c r="BF15" s="137">
        <f t="shared" si="27"/>
        <v>4.8582533150434379</v>
      </c>
      <c r="BG15" s="137">
        <f t="shared" si="28"/>
        <v>4.4983826991142948</v>
      </c>
      <c r="BH15" s="137">
        <f t="shared" si="29"/>
        <v>4.165169165846569</v>
      </c>
      <c r="BI15" s="136">
        <f t="shared" si="41"/>
        <v>8.0246913580246915</v>
      </c>
      <c r="BJ15" s="137">
        <f t="shared" si="30"/>
        <v>7.4302697759487879</v>
      </c>
      <c r="BK15" s="137">
        <f t="shared" si="31"/>
        <v>6.8798794221748034</v>
      </c>
      <c r="BL15" s="137">
        <f t="shared" si="32"/>
        <v>6.3702587242359288</v>
      </c>
      <c r="BM15" s="136">
        <f t="shared" si="42"/>
        <v>1.1818181818181819</v>
      </c>
      <c r="BN15" s="137">
        <f t="shared" si="33"/>
        <v>1.0942760942760943</v>
      </c>
      <c r="BO15" s="137">
        <f t="shared" si="34"/>
        <v>1.0132186058111983</v>
      </c>
      <c r="BP15" s="138">
        <f t="shared" si="35"/>
        <v>0.93816537575110936</v>
      </c>
    </row>
    <row r="16" spans="1:68" s="139" customFormat="1" ht="12" x14ac:dyDescent="0.15">
      <c r="A16" s="132"/>
      <c r="B16" s="25">
        <f t="shared" si="43"/>
        <v>9</v>
      </c>
      <c r="C16" s="11" t="s">
        <v>93</v>
      </c>
      <c r="D16" s="73">
        <v>600</v>
      </c>
      <c r="E16" s="74">
        <v>800</v>
      </c>
      <c r="F16" s="88">
        <v>240</v>
      </c>
      <c r="G16" s="73">
        <v>261.60000000000002</v>
      </c>
      <c r="H16" s="73">
        <v>285.14400000000006</v>
      </c>
      <c r="I16" s="73">
        <v>310.80696000000012</v>
      </c>
      <c r="J16" s="74">
        <v>338.77958640000014</v>
      </c>
      <c r="K16" s="73">
        <v>125</v>
      </c>
      <c r="L16" s="73">
        <v>136.25</v>
      </c>
      <c r="M16" s="73">
        <v>148.51250000000002</v>
      </c>
      <c r="N16" s="73">
        <v>161.87862500000003</v>
      </c>
      <c r="O16" s="73">
        <v>176.44770125000005</v>
      </c>
      <c r="P16" s="88">
        <v>75</v>
      </c>
      <c r="Q16" s="73">
        <v>81.75</v>
      </c>
      <c r="R16" s="73">
        <v>89.107500000000002</v>
      </c>
      <c r="S16" s="73">
        <v>97.127175000000008</v>
      </c>
      <c r="T16" s="73">
        <v>105.86862075000002</v>
      </c>
      <c r="U16" s="72">
        <v>450</v>
      </c>
      <c r="V16" s="73">
        <v>490.50000000000006</v>
      </c>
      <c r="W16" s="73">
        <v>534.6450000000001</v>
      </c>
      <c r="X16" s="74">
        <v>582.76305000000013</v>
      </c>
      <c r="Y16" s="133">
        <f t="shared" si="0"/>
        <v>9.000000000000008E-2</v>
      </c>
      <c r="Z16" s="133">
        <f t="shared" si="1"/>
        <v>9.000000000000008E-2</v>
      </c>
      <c r="AA16" s="133">
        <f t="shared" si="2"/>
        <v>9.000000000000008E-2</v>
      </c>
      <c r="AB16" s="134">
        <f t="shared" si="3"/>
        <v>9.000000000000008E-2</v>
      </c>
      <c r="AC16" s="133">
        <f t="shared" si="4"/>
        <v>9.000000000000008E-2</v>
      </c>
      <c r="AD16" s="133">
        <f t="shared" si="5"/>
        <v>9.000000000000008E-2</v>
      </c>
      <c r="AE16" s="133">
        <f t="shared" si="6"/>
        <v>9.000000000000008E-2</v>
      </c>
      <c r="AF16" s="134">
        <f t="shared" si="7"/>
        <v>9.000000000000008E-2</v>
      </c>
      <c r="AG16" s="133">
        <f t="shared" si="8"/>
        <v>0.52083333333333326</v>
      </c>
      <c r="AH16" s="133">
        <f t="shared" si="9"/>
        <v>0.52083333333333326</v>
      </c>
      <c r="AI16" s="133">
        <f t="shared" si="10"/>
        <v>0.52083333333333326</v>
      </c>
      <c r="AJ16" s="134">
        <f t="shared" si="11"/>
        <v>0.52083333333333326</v>
      </c>
      <c r="AK16" s="135">
        <f t="shared" si="36"/>
        <v>0.18166666666666667</v>
      </c>
      <c r="AL16" s="133">
        <f t="shared" si="12"/>
        <v>0.18166666666666664</v>
      </c>
      <c r="AM16" s="133">
        <f t="shared" si="13"/>
        <v>0.18166666666666664</v>
      </c>
      <c r="AN16" s="133">
        <f t="shared" si="14"/>
        <v>0.18166666666666667</v>
      </c>
      <c r="AO16" s="135">
        <f t="shared" si="37"/>
        <v>9.000000000000008E-2</v>
      </c>
      <c r="AP16" s="133">
        <f t="shared" si="37"/>
        <v>9.000000000000008E-2</v>
      </c>
      <c r="AQ16" s="133">
        <f t="shared" si="15"/>
        <v>9.000000000000008E-2</v>
      </c>
      <c r="AR16" s="133">
        <f t="shared" si="16"/>
        <v>9.000000000000008E-2</v>
      </c>
      <c r="AS16" s="135">
        <f t="shared" si="17"/>
        <v>0.3125</v>
      </c>
      <c r="AT16" s="133">
        <f t="shared" si="18"/>
        <v>0.31249999999999994</v>
      </c>
      <c r="AU16" s="133">
        <f t="shared" si="19"/>
        <v>0.31249999999999989</v>
      </c>
      <c r="AV16" s="133">
        <f t="shared" si="20"/>
        <v>0.31249999999999994</v>
      </c>
      <c r="AW16" s="136">
        <f t="shared" si="38"/>
        <v>3.0581039755351678</v>
      </c>
      <c r="AX16" s="137">
        <f t="shared" si="21"/>
        <v>2.8055999775551994</v>
      </c>
      <c r="AY16" s="137">
        <f t="shared" si="22"/>
        <v>2.5739449335368798</v>
      </c>
      <c r="AZ16" s="137">
        <f t="shared" si="23"/>
        <v>2.3614173702173211</v>
      </c>
      <c r="BA16" s="136">
        <f t="shared" si="39"/>
        <v>2.2935779816513762</v>
      </c>
      <c r="BB16" s="137">
        <f t="shared" si="24"/>
        <v>2.1041999831663998</v>
      </c>
      <c r="BC16" s="137">
        <f t="shared" si="25"/>
        <v>1.9304587001526599</v>
      </c>
      <c r="BD16" s="137">
        <f t="shared" si="26"/>
        <v>1.7710630276629906</v>
      </c>
      <c r="BE16" s="136">
        <f t="shared" si="40"/>
        <v>5.8715596330275233</v>
      </c>
      <c r="BF16" s="137">
        <f t="shared" si="27"/>
        <v>5.3867519569059841</v>
      </c>
      <c r="BG16" s="137">
        <f t="shared" si="28"/>
        <v>4.9419742723908104</v>
      </c>
      <c r="BH16" s="137">
        <f t="shared" si="29"/>
        <v>4.5339213508172564</v>
      </c>
      <c r="BI16" s="136">
        <f t="shared" si="41"/>
        <v>7.3394495412844041</v>
      </c>
      <c r="BJ16" s="137">
        <f t="shared" si="30"/>
        <v>6.7334399461324805</v>
      </c>
      <c r="BK16" s="137">
        <f t="shared" si="31"/>
        <v>6.1774678404885135</v>
      </c>
      <c r="BL16" s="137">
        <f t="shared" si="32"/>
        <v>5.6674016885215712</v>
      </c>
      <c r="BM16" s="136">
        <f t="shared" si="42"/>
        <v>1.3333333333333333</v>
      </c>
      <c r="BN16" s="137">
        <f t="shared" si="33"/>
        <v>1.2232415902140672</v>
      </c>
      <c r="BO16" s="137">
        <f t="shared" si="34"/>
        <v>1.1222399910220799</v>
      </c>
      <c r="BP16" s="138">
        <f t="shared" si="35"/>
        <v>1.0295779734147521</v>
      </c>
    </row>
    <row r="17" spans="1:68" s="139" customFormat="1" ht="13" thickBot="1" x14ac:dyDescent="0.2">
      <c r="A17" s="132"/>
      <c r="B17" s="26">
        <f t="shared" si="43"/>
        <v>10</v>
      </c>
      <c r="C17" s="12" t="s">
        <v>94</v>
      </c>
      <c r="D17" s="76">
        <v>550</v>
      </c>
      <c r="E17" s="77">
        <v>750</v>
      </c>
      <c r="F17" s="89">
        <v>210</v>
      </c>
      <c r="G17" s="76">
        <v>231.00000000000003</v>
      </c>
      <c r="H17" s="76">
        <v>254.10000000000005</v>
      </c>
      <c r="I17" s="76">
        <v>279.5100000000001</v>
      </c>
      <c r="J17" s="77">
        <v>307.46100000000013</v>
      </c>
      <c r="K17" s="76">
        <v>100</v>
      </c>
      <c r="L17" s="76">
        <v>110.00000000000001</v>
      </c>
      <c r="M17" s="76">
        <v>121.00000000000003</v>
      </c>
      <c r="N17" s="76">
        <v>133.10000000000005</v>
      </c>
      <c r="O17" s="76">
        <v>146.41000000000008</v>
      </c>
      <c r="P17" s="89">
        <v>50</v>
      </c>
      <c r="Q17" s="76">
        <v>55.000000000000007</v>
      </c>
      <c r="R17" s="76">
        <v>60.500000000000014</v>
      </c>
      <c r="S17" s="76">
        <v>66.550000000000026</v>
      </c>
      <c r="T17" s="76">
        <v>73.205000000000041</v>
      </c>
      <c r="U17" s="75">
        <v>450</v>
      </c>
      <c r="V17" s="76">
        <v>495.00000000000006</v>
      </c>
      <c r="W17" s="76">
        <v>544.50000000000011</v>
      </c>
      <c r="X17" s="77">
        <v>598.95000000000016</v>
      </c>
      <c r="Y17" s="140">
        <f t="shared" si="0"/>
        <v>0.10000000000000009</v>
      </c>
      <c r="Z17" s="140">
        <f t="shared" si="1"/>
        <v>0.10000000000000009</v>
      </c>
      <c r="AA17" s="140">
        <f t="shared" si="2"/>
        <v>0.10000000000000009</v>
      </c>
      <c r="AB17" s="141">
        <f t="shared" si="3"/>
        <v>0.10000000000000009</v>
      </c>
      <c r="AC17" s="140">
        <f t="shared" si="4"/>
        <v>0.10000000000000009</v>
      </c>
      <c r="AD17" s="140">
        <f t="shared" si="5"/>
        <v>0.10000000000000009</v>
      </c>
      <c r="AE17" s="140">
        <f t="shared" si="6"/>
        <v>0.10000000000000009</v>
      </c>
      <c r="AF17" s="141">
        <f t="shared" si="7"/>
        <v>0.10000000000000009</v>
      </c>
      <c r="AG17" s="140">
        <f t="shared" si="8"/>
        <v>0.47619047619047622</v>
      </c>
      <c r="AH17" s="140">
        <f t="shared" si="9"/>
        <v>0.47619047619047622</v>
      </c>
      <c r="AI17" s="140">
        <f t="shared" si="10"/>
        <v>0.47619047619047622</v>
      </c>
      <c r="AJ17" s="141">
        <f t="shared" si="11"/>
        <v>0.47619047619047628</v>
      </c>
      <c r="AK17" s="142">
        <f t="shared" si="36"/>
        <v>0.12222222222222223</v>
      </c>
      <c r="AL17" s="140">
        <f t="shared" si="12"/>
        <v>0.12222222222222223</v>
      </c>
      <c r="AM17" s="140">
        <f t="shared" si="13"/>
        <v>0.12222222222222225</v>
      </c>
      <c r="AN17" s="140">
        <f t="shared" si="14"/>
        <v>0.12222222222222226</v>
      </c>
      <c r="AO17" s="142">
        <f t="shared" si="37"/>
        <v>0.10000000000000009</v>
      </c>
      <c r="AP17" s="140">
        <f t="shared" si="37"/>
        <v>0.10000000000000009</v>
      </c>
      <c r="AQ17" s="140">
        <f t="shared" si="15"/>
        <v>0.10000000000000009</v>
      </c>
      <c r="AR17" s="140">
        <f t="shared" si="16"/>
        <v>0.10000000000000009</v>
      </c>
      <c r="AS17" s="142">
        <f t="shared" si="17"/>
        <v>0.23809523809523811</v>
      </c>
      <c r="AT17" s="140">
        <f t="shared" si="18"/>
        <v>0.23809523809523811</v>
      </c>
      <c r="AU17" s="140">
        <f t="shared" si="19"/>
        <v>0.23809523809523811</v>
      </c>
      <c r="AV17" s="140">
        <f t="shared" si="20"/>
        <v>0.23809523809523814</v>
      </c>
      <c r="AW17" s="143">
        <f t="shared" si="38"/>
        <v>3.2467532467532463</v>
      </c>
      <c r="AX17" s="144">
        <f t="shared" si="21"/>
        <v>2.9515938606847691</v>
      </c>
      <c r="AY17" s="144">
        <f t="shared" si="22"/>
        <v>2.6832671460770623</v>
      </c>
      <c r="AZ17" s="144">
        <f t="shared" si="23"/>
        <v>2.4393337691609656</v>
      </c>
      <c r="BA17" s="143">
        <f t="shared" si="39"/>
        <v>2.3809523809523805</v>
      </c>
      <c r="BB17" s="144">
        <f t="shared" si="24"/>
        <v>2.164502164502164</v>
      </c>
      <c r="BC17" s="144">
        <f t="shared" si="25"/>
        <v>1.9677292404565125</v>
      </c>
      <c r="BD17" s="144">
        <f t="shared" si="26"/>
        <v>1.7888447640513749</v>
      </c>
      <c r="BE17" s="143">
        <f t="shared" si="40"/>
        <v>6.8181818181818175</v>
      </c>
      <c r="BF17" s="144">
        <f t="shared" si="27"/>
        <v>6.198347107438015</v>
      </c>
      <c r="BG17" s="144">
        <f t="shared" si="28"/>
        <v>5.634861006761831</v>
      </c>
      <c r="BH17" s="144">
        <f t="shared" si="29"/>
        <v>5.122600915238027</v>
      </c>
      <c r="BI17" s="143">
        <f t="shared" si="41"/>
        <v>9.9999999999999982</v>
      </c>
      <c r="BJ17" s="144">
        <f t="shared" si="30"/>
        <v>9.0909090909090882</v>
      </c>
      <c r="BK17" s="144">
        <f t="shared" si="31"/>
        <v>8.2644628099173527</v>
      </c>
      <c r="BL17" s="144">
        <f t="shared" si="32"/>
        <v>7.5131480090157732</v>
      </c>
      <c r="BM17" s="143">
        <f t="shared" si="42"/>
        <v>1.2222222222222223</v>
      </c>
      <c r="BN17" s="144">
        <f t="shared" si="33"/>
        <v>1.1111111111111109</v>
      </c>
      <c r="BO17" s="144">
        <f t="shared" si="34"/>
        <v>1.0101010101010099</v>
      </c>
      <c r="BP17" s="145">
        <f t="shared" si="35"/>
        <v>0.91827364554637259</v>
      </c>
    </row>
    <row r="18" spans="1:68" x14ac:dyDescent="0.15">
      <c r="B18" s="32" t="s">
        <v>5</v>
      </c>
      <c r="C18" s="3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34">
        <f t="shared" ref="Y18:BP18" si="44">MIN(Y$8:Y$17)</f>
        <v>1.0000000000000009E-2</v>
      </c>
      <c r="Z18" s="35">
        <f t="shared" si="44"/>
        <v>1.0000000000000009E-2</v>
      </c>
      <c r="AA18" s="35">
        <f t="shared" si="44"/>
        <v>1.0000000000000009E-2</v>
      </c>
      <c r="AB18" s="36">
        <f t="shared" si="44"/>
        <v>1.0000000000000009E-2</v>
      </c>
      <c r="AC18" s="34">
        <f t="shared" si="44"/>
        <v>1.0000000000000009E-2</v>
      </c>
      <c r="AD18" s="35">
        <f t="shared" si="44"/>
        <v>1.0000000000000009E-2</v>
      </c>
      <c r="AE18" s="35">
        <f t="shared" si="44"/>
        <v>1.0000000000000009E-2</v>
      </c>
      <c r="AF18" s="36">
        <f t="shared" si="44"/>
        <v>1.0000000000000009E-2</v>
      </c>
      <c r="AG18" s="35">
        <f t="shared" si="44"/>
        <v>0.3</v>
      </c>
      <c r="AH18" s="35">
        <f t="shared" si="44"/>
        <v>0.29999999999999993</v>
      </c>
      <c r="AI18" s="35">
        <f t="shared" si="44"/>
        <v>0.3</v>
      </c>
      <c r="AJ18" s="35">
        <f t="shared" si="44"/>
        <v>0.3</v>
      </c>
      <c r="AK18" s="34">
        <f t="shared" si="44"/>
        <v>9.7272727272727275E-2</v>
      </c>
      <c r="AL18" s="35">
        <f t="shared" si="44"/>
        <v>9.7272727272727275E-2</v>
      </c>
      <c r="AM18" s="35">
        <f t="shared" si="44"/>
        <v>9.7272727272727275E-2</v>
      </c>
      <c r="AN18" s="35">
        <f t="shared" si="44"/>
        <v>9.7272727272727275E-2</v>
      </c>
      <c r="AO18" s="34">
        <f t="shared" si="44"/>
        <v>1.0000000000000009E-2</v>
      </c>
      <c r="AP18" s="35">
        <f t="shared" si="44"/>
        <v>1.0000000000000009E-2</v>
      </c>
      <c r="AQ18" s="35">
        <f t="shared" si="44"/>
        <v>1.0000000000000009E-2</v>
      </c>
      <c r="AR18" s="35">
        <f t="shared" si="44"/>
        <v>1.0000000000000009E-2</v>
      </c>
      <c r="AS18" s="34">
        <f t="shared" si="44"/>
        <v>0.16666666666666666</v>
      </c>
      <c r="AT18" s="35">
        <f t="shared" si="44"/>
        <v>0.16666666666666666</v>
      </c>
      <c r="AU18" s="35">
        <f t="shared" si="44"/>
        <v>0.16666666666666666</v>
      </c>
      <c r="AV18" s="35">
        <f t="shared" si="44"/>
        <v>0.16666666666666666</v>
      </c>
      <c r="AW18" s="37">
        <f t="shared" si="44"/>
        <v>1.9801980198019802</v>
      </c>
      <c r="AX18" s="38">
        <f t="shared" si="44"/>
        <v>1.9605920988138417</v>
      </c>
      <c r="AY18" s="38">
        <f t="shared" si="44"/>
        <v>1.9411802958552888</v>
      </c>
      <c r="AZ18" s="38">
        <f t="shared" si="44"/>
        <v>1.9219606889656324</v>
      </c>
      <c r="BA18" s="37">
        <f t="shared" si="44"/>
        <v>1.6501650165016502</v>
      </c>
      <c r="BB18" s="38">
        <f t="shared" si="44"/>
        <v>1.6338267490115346</v>
      </c>
      <c r="BC18" s="38">
        <f t="shared" si="44"/>
        <v>1.617650246546074</v>
      </c>
      <c r="BD18" s="38">
        <f t="shared" si="44"/>
        <v>1.595733008591252</v>
      </c>
      <c r="BE18" s="37">
        <f t="shared" si="44"/>
        <v>4.7619047619047619</v>
      </c>
      <c r="BF18" s="38">
        <f t="shared" si="44"/>
        <v>4.5351473922902494</v>
      </c>
      <c r="BG18" s="38">
        <f t="shared" si="44"/>
        <v>4.3191879926573806</v>
      </c>
      <c r="BH18" s="38">
        <f t="shared" si="44"/>
        <v>4.1135123739594093</v>
      </c>
      <c r="BI18" s="37">
        <f t="shared" si="44"/>
        <v>7.0754716981132075</v>
      </c>
      <c r="BJ18" s="38">
        <f t="shared" si="44"/>
        <v>6.6749733001067995</v>
      </c>
      <c r="BK18" s="38">
        <f t="shared" si="44"/>
        <v>6.1774678404885135</v>
      </c>
      <c r="BL18" s="38">
        <f t="shared" si="44"/>
        <v>5.6674016885215712</v>
      </c>
      <c r="BM18" s="37">
        <f t="shared" si="44"/>
        <v>1.1176470588235294</v>
      </c>
      <c r="BN18" s="38">
        <f t="shared" si="44"/>
        <v>1.0922330097087378</v>
      </c>
      <c r="BO18" s="38">
        <f t="shared" si="44"/>
        <v>1.0101010101010099</v>
      </c>
      <c r="BP18" s="39">
        <f t="shared" si="44"/>
        <v>0.91827364554637259</v>
      </c>
    </row>
    <row r="19" spans="1:68" x14ac:dyDescent="0.15">
      <c r="B19" s="40" t="s">
        <v>6</v>
      </c>
      <c r="C19" s="41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42">
        <f t="shared" ref="Y19:BP19" si="45">AVERAGE(Y$8:Y$17)</f>
        <v>5.5000000000000049E-2</v>
      </c>
      <c r="Z19" s="43">
        <f t="shared" si="45"/>
        <v>5.5000000000000049E-2</v>
      </c>
      <c r="AA19" s="43">
        <f t="shared" si="45"/>
        <v>5.5000000000000049E-2</v>
      </c>
      <c r="AB19" s="44">
        <f t="shared" si="45"/>
        <v>5.5000000000000049E-2</v>
      </c>
      <c r="AC19" s="42">
        <f t="shared" si="45"/>
        <v>5.5000000000000049E-2</v>
      </c>
      <c r="AD19" s="43">
        <f t="shared" si="45"/>
        <v>5.5000000000000049E-2</v>
      </c>
      <c r="AE19" s="43">
        <f t="shared" si="45"/>
        <v>5.5000000000000049E-2</v>
      </c>
      <c r="AF19" s="44">
        <f t="shared" si="45"/>
        <v>5.5000000000000049E-2</v>
      </c>
      <c r="AG19" s="43">
        <f t="shared" si="45"/>
        <v>0.42595890220890215</v>
      </c>
      <c r="AH19" s="43">
        <f t="shared" si="45"/>
        <v>0.4259589022089022</v>
      </c>
      <c r="AI19" s="43">
        <f t="shared" si="45"/>
        <v>0.4259589022089022</v>
      </c>
      <c r="AJ19" s="43">
        <f t="shared" si="45"/>
        <v>0.4259589022089022</v>
      </c>
      <c r="AK19" s="42">
        <f t="shared" si="45"/>
        <v>0.14755442335442334</v>
      </c>
      <c r="AL19" s="43">
        <f t="shared" si="45"/>
        <v>0.14755442335442334</v>
      </c>
      <c r="AM19" s="43">
        <f t="shared" si="45"/>
        <v>0.14755442335442334</v>
      </c>
      <c r="AN19" s="43">
        <f t="shared" si="45"/>
        <v>0.14755442335442334</v>
      </c>
      <c r="AO19" s="42">
        <f t="shared" si="45"/>
        <v>5.5000000000000049E-2</v>
      </c>
      <c r="AP19" s="43">
        <f t="shared" si="45"/>
        <v>5.5000000000000049E-2</v>
      </c>
      <c r="AQ19" s="43">
        <f t="shared" si="45"/>
        <v>5.5000000000000049E-2</v>
      </c>
      <c r="AR19" s="43">
        <f t="shared" si="45"/>
        <v>5.5000000000000049E-2</v>
      </c>
      <c r="AS19" s="42">
        <f t="shared" si="45"/>
        <v>0.23575993450993452</v>
      </c>
      <c r="AT19" s="43">
        <f t="shared" si="45"/>
        <v>0.23575993450993452</v>
      </c>
      <c r="AU19" s="43">
        <f t="shared" si="45"/>
        <v>0.23575993450993452</v>
      </c>
      <c r="AV19" s="43">
        <f t="shared" si="45"/>
        <v>0.23575993450993452</v>
      </c>
      <c r="AW19" s="45">
        <f t="shared" si="45"/>
        <v>2.5486881315261973</v>
      </c>
      <c r="AX19" s="46">
        <f t="shared" si="45"/>
        <v>2.4064944264958492</v>
      </c>
      <c r="AY19" s="46">
        <f t="shared" si="45"/>
        <v>2.2739014239141264</v>
      </c>
      <c r="AZ19" s="46">
        <f t="shared" si="45"/>
        <v>2.1501995794725559</v>
      </c>
      <c r="BA19" s="45">
        <f t="shared" si="45"/>
        <v>2.0003737565610038</v>
      </c>
      <c r="BB19" s="46">
        <f t="shared" si="45"/>
        <v>1.8908351048758276</v>
      </c>
      <c r="BC19" s="46">
        <f t="shared" si="45"/>
        <v>1.7886091210528572</v>
      </c>
      <c r="BD19" s="46">
        <f t="shared" si="45"/>
        <v>1.6931593506404181</v>
      </c>
      <c r="BE19" s="45">
        <f t="shared" si="45"/>
        <v>6.0674517483046104</v>
      </c>
      <c r="BF19" s="46">
        <f t="shared" si="45"/>
        <v>5.7561638301189708</v>
      </c>
      <c r="BG19" s="46">
        <f t="shared" si="45"/>
        <v>5.4650301264661945</v>
      </c>
      <c r="BH19" s="46">
        <f t="shared" si="45"/>
        <v>5.1925905659075449</v>
      </c>
      <c r="BI19" s="45">
        <f t="shared" si="45"/>
        <v>8.7405683857916223</v>
      </c>
      <c r="BJ19" s="46">
        <f t="shared" si="45"/>
        <v>8.2863904360919101</v>
      </c>
      <c r="BK19" s="46">
        <f t="shared" si="45"/>
        <v>7.8618120964761857</v>
      </c>
      <c r="BL19" s="46">
        <f t="shared" si="45"/>
        <v>7.4646911400682381</v>
      </c>
      <c r="BM19" s="45">
        <f t="shared" si="45"/>
        <v>1.2447803013979484</v>
      </c>
      <c r="BN19" s="46">
        <f t="shared" si="45"/>
        <v>1.1798520648530393</v>
      </c>
      <c r="BO19" s="46">
        <f t="shared" si="45"/>
        <v>1.1191260853411333</v>
      </c>
      <c r="BP19" s="47">
        <f t="shared" si="45"/>
        <v>1.0623006642241366</v>
      </c>
    </row>
    <row r="20" spans="1:68" x14ac:dyDescent="0.15">
      <c r="B20" s="48" t="s">
        <v>7</v>
      </c>
      <c r="C20" s="41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  <c r="Y20" s="57">
        <f t="shared" ref="Y20:BP20" si="46">(SUM(Y$8:Y$17)-Y$18-Y$22)/(COUNT(Y$8:Y$17)-2)</f>
        <v>5.5000000000000049E-2</v>
      </c>
      <c r="Z20" s="58">
        <f t="shared" si="46"/>
        <v>5.5000000000000049E-2</v>
      </c>
      <c r="AA20" s="58">
        <f t="shared" si="46"/>
        <v>5.5000000000000049E-2</v>
      </c>
      <c r="AB20" s="59">
        <f t="shared" si="46"/>
        <v>5.5000000000000049E-2</v>
      </c>
      <c r="AC20" s="57">
        <f t="shared" si="46"/>
        <v>5.5000000000000049E-2</v>
      </c>
      <c r="AD20" s="58">
        <f t="shared" si="46"/>
        <v>5.5000000000000049E-2</v>
      </c>
      <c r="AE20" s="58">
        <f t="shared" si="46"/>
        <v>5.5000000000000049E-2</v>
      </c>
      <c r="AF20" s="59">
        <f t="shared" si="46"/>
        <v>5.5000000000000049E-2</v>
      </c>
      <c r="AG20" s="58">
        <f t="shared" si="46"/>
        <v>0.42283324314574311</v>
      </c>
      <c r="AH20" s="58">
        <f t="shared" si="46"/>
        <v>0.42283324314574317</v>
      </c>
      <c r="AI20" s="58">
        <f t="shared" si="46"/>
        <v>0.42283324314574317</v>
      </c>
      <c r="AJ20" s="58">
        <f t="shared" si="46"/>
        <v>0.42283324314574317</v>
      </c>
      <c r="AK20" s="57">
        <f t="shared" si="46"/>
        <v>0.14578393828393829</v>
      </c>
      <c r="AL20" s="58">
        <f t="shared" si="46"/>
        <v>0.14578393828393829</v>
      </c>
      <c r="AM20" s="58">
        <f t="shared" si="46"/>
        <v>0.14578393828393829</v>
      </c>
      <c r="AN20" s="58">
        <f t="shared" si="46"/>
        <v>0.14578393828393829</v>
      </c>
      <c r="AO20" s="57">
        <f t="shared" si="46"/>
        <v>5.5000000000000049E-2</v>
      </c>
      <c r="AP20" s="58">
        <f t="shared" si="46"/>
        <v>5.5000000000000049E-2</v>
      </c>
      <c r="AQ20" s="58">
        <f t="shared" si="46"/>
        <v>5.5000000000000049E-2</v>
      </c>
      <c r="AR20" s="58">
        <f t="shared" si="46"/>
        <v>5.5000000000000049E-2</v>
      </c>
      <c r="AS20" s="57">
        <f t="shared" si="46"/>
        <v>0.23480408480408482</v>
      </c>
      <c r="AT20" s="58">
        <f t="shared" si="46"/>
        <v>0.23480408480408482</v>
      </c>
      <c r="AU20" s="58">
        <f t="shared" si="46"/>
        <v>0.23480408480408482</v>
      </c>
      <c r="AV20" s="58">
        <f t="shared" si="46"/>
        <v>0.23480408480408482</v>
      </c>
      <c r="AW20" s="60">
        <f t="shared" si="46"/>
        <v>2.5324912560883432</v>
      </c>
      <c r="AX20" s="61">
        <f t="shared" si="46"/>
        <v>2.394094788182485</v>
      </c>
      <c r="AY20" s="61">
        <f t="shared" si="46"/>
        <v>2.2643208496511136</v>
      </c>
      <c r="AZ20" s="61">
        <f t="shared" si="46"/>
        <v>2.1425876670748698</v>
      </c>
      <c r="BA20" s="60">
        <f t="shared" si="46"/>
        <v>1.9965775210195011</v>
      </c>
      <c r="BB20" s="61">
        <f t="shared" si="46"/>
        <v>1.8887527669055726</v>
      </c>
      <c r="BC20" s="61">
        <f t="shared" si="46"/>
        <v>1.7854825451790093</v>
      </c>
      <c r="BD20" s="61">
        <f t="shared" si="46"/>
        <v>1.6872857332277245</v>
      </c>
      <c r="BE20" s="60">
        <f t="shared" si="46"/>
        <v>6.0991089526022151</v>
      </c>
      <c r="BF20" s="61">
        <f t="shared" si="46"/>
        <v>5.764265113573158</v>
      </c>
      <c r="BG20" s="61">
        <f t="shared" si="46"/>
        <v>5.4525093045935069</v>
      </c>
      <c r="BH20" s="61">
        <f t="shared" si="46"/>
        <v>5.1621027000501236</v>
      </c>
      <c r="BI20" s="60">
        <f t="shared" si="46"/>
        <v>8.4057625012837889</v>
      </c>
      <c r="BJ20" s="61">
        <f t="shared" si="46"/>
        <v>7.995098608123417</v>
      </c>
      <c r="BK20" s="61">
        <f t="shared" si="46"/>
        <v>7.6265603559751769</v>
      </c>
      <c r="BL20" s="61">
        <f t="shared" si="46"/>
        <v>7.2873720929369332</v>
      </c>
      <c r="BM20" s="60">
        <f t="shared" si="46"/>
        <v>1.2287694943944945</v>
      </c>
      <c r="BN20" s="61">
        <f t="shared" si="46"/>
        <v>1.1613991623998769</v>
      </c>
      <c r="BO20" s="61">
        <f t="shared" si="46"/>
        <v>1.1057706479111202</v>
      </c>
      <c r="BP20" s="62">
        <f t="shared" si="46"/>
        <v>1.0556630090183177</v>
      </c>
    </row>
    <row r="21" spans="1:68" x14ac:dyDescent="0.15">
      <c r="B21" s="48" t="s">
        <v>8</v>
      </c>
      <c r="C21" s="41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57">
        <f t="shared" ref="Y21:BP21" si="47">MEDIAN(Y$8:Y$17)</f>
        <v>5.5000000000000049E-2</v>
      </c>
      <c r="Z21" s="58">
        <f t="shared" si="47"/>
        <v>5.5000000000000049E-2</v>
      </c>
      <c r="AA21" s="58">
        <f t="shared" si="47"/>
        <v>5.5000000000000049E-2</v>
      </c>
      <c r="AB21" s="59">
        <f t="shared" si="47"/>
        <v>5.5000000000000049E-2</v>
      </c>
      <c r="AC21" s="57">
        <f t="shared" si="47"/>
        <v>5.5000000000000049E-2</v>
      </c>
      <c r="AD21" s="58">
        <f t="shared" si="47"/>
        <v>5.5000000000000049E-2</v>
      </c>
      <c r="AE21" s="58">
        <f t="shared" si="47"/>
        <v>5.5000000000000049E-2</v>
      </c>
      <c r="AF21" s="59">
        <f t="shared" si="47"/>
        <v>5.5000000000000049E-2</v>
      </c>
      <c r="AG21" s="58">
        <f t="shared" si="47"/>
        <v>0.42261904761904762</v>
      </c>
      <c r="AH21" s="58">
        <f t="shared" si="47"/>
        <v>0.42261904761904762</v>
      </c>
      <c r="AI21" s="58">
        <f t="shared" si="47"/>
        <v>0.42261904761904756</v>
      </c>
      <c r="AJ21" s="58">
        <f t="shared" si="47"/>
        <v>0.42261904761904756</v>
      </c>
      <c r="AK21" s="57">
        <f t="shared" si="47"/>
        <v>0.14792207792207793</v>
      </c>
      <c r="AL21" s="58">
        <f t="shared" si="47"/>
        <v>0.14792207792207793</v>
      </c>
      <c r="AM21" s="58">
        <f t="shared" si="47"/>
        <v>0.1479220779220779</v>
      </c>
      <c r="AN21" s="58">
        <f t="shared" si="47"/>
        <v>0.1479220779220779</v>
      </c>
      <c r="AO21" s="57">
        <f t="shared" si="47"/>
        <v>5.5000000000000049E-2</v>
      </c>
      <c r="AP21" s="58">
        <f t="shared" si="47"/>
        <v>5.5000000000000049E-2</v>
      </c>
      <c r="AQ21" s="58">
        <f t="shared" si="47"/>
        <v>5.5000000000000049E-2</v>
      </c>
      <c r="AR21" s="58">
        <f t="shared" si="47"/>
        <v>5.5000000000000049E-2</v>
      </c>
      <c r="AS21" s="57">
        <f t="shared" si="47"/>
        <v>0.23268398268398269</v>
      </c>
      <c r="AT21" s="58">
        <f t="shared" si="47"/>
        <v>0.23268398268398272</v>
      </c>
      <c r="AU21" s="58">
        <f t="shared" si="47"/>
        <v>0.23268398268398272</v>
      </c>
      <c r="AV21" s="58">
        <f t="shared" si="47"/>
        <v>0.23268398268398272</v>
      </c>
      <c r="AW21" s="60">
        <f t="shared" si="47"/>
        <v>2.4707996406109611</v>
      </c>
      <c r="AX21" s="61">
        <f t="shared" si="47"/>
        <v>2.3416391595204593</v>
      </c>
      <c r="AY21" s="61">
        <f t="shared" si="47"/>
        <v>2.2192803108510404</v>
      </c>
      <c r="AZ21" s="61">
        <f t="shared" si="47"/>
        <v>2.1033623507414516</v>
      </c>
      <c r="BA21" s="60">
        <f t="shared" si="47"/>
        <v>1.9631626235399819</v>
      </c>
      <c r="BB21" s="61">
        <f t="shared" si="47"/>
        <v>1.8605970927590212</v>
      </c>
      <c r="BC21" s="61">
        <f t="shared" si="47"/>
        <v>1.7634296874946562</v>
      </c>
      <c r="BD21" s="61">
        <f t="shared" si="47"/>
        <v>1.671374256832618</v>
      </c>
      <c r="BE21" s="60">
        <f t="shared" si="47"/>
        <v>5.9577184133507686</v>
      </c>
      <c r="BF21" s="61">
        <f t="shared" si="47"/>
        <v>5.7592102082658556</v>
      </c>
      <c r="BG21" s="61">
        <f t="shared" si="47"/>
        <v>5.4844195793936601</v>
      </c>
      <c r="BH21" s="61">
        <f t="shared" si="47"/>
        <v>5.1257130307081908</v>
      </c>
      <c r="BI21" s="60">
        <f t="shared" si="47"/>
        <v>8.0988841405508083</v>
      </c>
      <c r="BJ21" s="61">
        <f t="shared" si="47"/>
        <v>7.6444987932998378</v>
      </c>
      <c r="BK21" s="61">
        <f t="shared" si="47"/>
        <v>7.3590593956301564</v>
      </c>
      <c r="BL21" s="61">
        <f t="shared" si="47"/>
        <v>7.1435304307770888</v>
      </c>
      <c r="BM21" s="60">
        <f t="shared" si="47"/>
        <v>1.2264957264957266</v>
      </c>
      <c r="BN21" s="61">
        <f t="shared" si="47"/>
        <v>1.1698717948717949</v>
      </c>
      <c r="BO21" s="61">
        <f t="shared" si="47"/>
        <v>1.1139966320081864</v>
      </c>
      <c r="BP21" s="62">
        <f t="shared" si="47"/>
        <v>1.0460541781292916</v>
      </c>
    </row>
    <row r="22" spans="1:68" ht="12" thickBot="1" x14ac:dyDescent="0.2">
      <c r="B22" s="49" t="s">
        <v>9</v>
      </c>
      <c r="C22" s="5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Y22" s="51">
        <f t="shared" ref="Y22:BP22" si="48">MAX(Y$8:Y$17)</f>
        <v>0.10000000000000009</v>
      </c>
      <c r="Z22" s="52">
        <f t="shared" si="48"/>
        <v>0.10000000000000009</v>
      </c>
      <c r="AA22" s="52">
        <f t="shared" si="48"/>
        <v>0.10000000000000009</v>
      </c>
      <c r="AB22" s="53">
        <f t="shared" si="48"/>
        <v>0.10000000000000009</v>
      </c>
      <c r="AC22" s="51">
        <f t="shared" si="48"/>
        <v>0.10000000000000009</v>
      </c>
      <c r="AD22" s="52">
        <f t="shared" si="48"/>
        <v>0.10000000000000009</v>
      </c>
      <c r="AE22" s="52">
        <f t="shared" si="48"/>
        <v>0.10000000000000009</v>
      </c>
      <c r="AF22" s="53">
        <f t="shared" si="48"/>
        <v>0.10000000000000009</v>
      </c>
      <c r="AG22" s="52">
        <f t="shared" si="48"/>
        <v>0.57692307692307687</v>
      </c>
      <c r="AH22" s="52">
        <f t="shared" si="48"/>
        <v>0.57692307692307698</v>
      </c>
      <c r="AI22" s="52">
        <f t="shared" si="48"/>
        <v>0.57692307692307698</v>
      </c>
      <c r="AJ22" s="52">
        <f t="shared" si="48"/>
        <v>0.57692307692307698</v>
      </c>
      <c r="AK22" s="51">
        <f t="shared" si="48"/>
        <v>0.21199999999999999</v>
      </c>
      <c r="AL22" s="52">
        <f t="shared" si="48"/>
        <v>0.21199999999999999</v>
      </c>
      <c r="AM22" s="52">
        <f t="shared" si="48"/>
        <v>0.21199999999999999</v>
      </c>
      <c r="AN22" s="52">
        <f t="shared" si="48"/>
        <v>0.21199999999999997</v>
      </c>
      <c r="AO22" s="51">
        <f t="shared" si="48"/>
        <v>0.10000000000000009</v>
      </c>
      <c r="AP22" s="52">
        <f t="shared" si="48"/>
        <v>0.10000000000000009</v>
      </c>
      <c r="AQ22" s="52">
        <f t="shared" si="48"/>
        <v>0.10000000000000009</v>
      </c>
      <c r="AR22" s="52">
        <f t="shared" si="48"/>
        <v>0.10000000000000009</v>
      </c>
      <c r="AS22" s="51">
        <f t="shared" si="48"/>
        <v>0.3125</v>
      </c>
      <c r="AT22" s="52">
        <f t="shared" si="48"/>
        <v>0.31249999999999994</v>
      </c>
      <c r="AU22" s="52">
        <f t="shared" si="48"/>
        <v>0.31249999999999989</v>
      </c>
      <c r="AV22" s="52">
        <f t="shared" si="48"/>
        <v>0.31249999999999994</v>
      </c>
      <c r="AW22" s="54">
        <f t="shared" si="48"/>
        <v>3.2467532467532463</v>
      </c>
      <c r="AX22" s="55">
        <f t="shared" si="48"/>
        <v>2.9515938606847691</v>
      </c>
      <c r="AY22" s="55">
        <f t="shared" si="48"/>
        <v>2.6832671460770623</v>
      </c>
      <c r="AZ22" s="55">
        <f t="shared" si="48"/>
        <v>2.4393337691609656</v>
      </c>
      <c r="BA22" s="54">
        <f t="shared" si="48"/>
        <v>2.3809523809523805</v>
      </c>
      <c r="BB22" s="55">
        <f t="shared" si="48"/>
        <v>2.164502164502164</v>
      </c>
      <c r="BC22" s="55">
        <f t="shared" si="48"/>
        <v>1.9845806025504242</v>
      </c>
      <c r="BD22" s="55">
        <f t="shared" si="48"/>
        <v>1.8375746319911335</v>
      </c>
      <c r="BE22" s="54">
        <f t="shared" si="48"/>
        <v>7.1197411003236244</v>
      </c>
      <c r="BF22" s="55">
        <f t="shared" si="48"/>
        <v>6.9123700003141995</v>
      </c>
      <c r="BG22" s="55">
        <f t="shared" si="48"/>
        <v>6.7110388352565034</v>
      </c>
      <c r="BH22" s="55">
        <f t="shared" si="48"/>
        <v>6.5155716847150513</v>
      </c>
      <c r="BI22" s="54">
        <f t="shared" si="48"/>
        <v>13.084112149532711</v>
      </c>
      <c r="BJ22" s="55">
        <f t="shared" si="48"/>
        <v>12.228142195824962</v>
      </c>
      <c r="BK22" s="55">
        <f t="shared" si="48"/>
        <v>11.428170276471926</v>
      </c>
      <c r="BL22" s="55">
        <f t="shared" si="48"/>
        <v>10.680532968665352</v>
      </c>
      <c r="BM22" s="54">
        <f t="shared" si="48"/>
        <v>1.5</v>
      </c>
      <c r="BN22" s="55">
        <f t="shared" si="48"/>
        <v>1.4150943396226414</v>
      </c>
      <c r="BO22" s="55">
        <f t="shared" si="48"/>
        <v>1.3349946600213598</v>
      </c>
      <c r="BP22" s="56">
        <f t="shared" si="48"/>
        <v>1.2594289245484525</v>
      </c>
    </row>
    <row r="26" spans="1:68" x14ac:dyDescent="0.15">
      <c r="G26" s="87"/>
    </row>
    <row r="27" spans="1:68" x14ac:dyDescent="0.15">
      <c r="G27" s="87"/>
    </row>
    <row r="28" spans="1:68" x14ac:dyDescent="0.15">
      <c r="G28" s="87"/>
    </row>
    <row r="29" spans="1:68" x14ac:dyDescent="0.15">
      <c r="G29" s="87"/>
    </row>
    <row r="30" spans="1:68" x14ac:dyDescent="0.15">
      <c r="G30" s="87"/>
    </row>
    <row r="31" spans="1:68" x14ac:dyDescent="0.15">
      <c r="G31" s="87"/>
    </row>
    <row r="32" spans="1:68" x14ac:dyDescent="0.15">
      <c r="G32" s="87"/>
    </row>
    <row r="33" spans="7:7" x14ac:dyDescent="0.15">
      <c r="G33" s="87"/>
    </row>
    <row r="34" spans="7:7" x14ac:dyDescent="0.15">
      <c r="G34" s="87"/>
    </row>
    <row r="35" spans="7:7" x14ac:dyDescent="0.15">
      <c r="G35" s="87"/>
    </row>
    <row r="36" spans="7:7" x14ac:dyDescent="0.15">
      <c r="G36" s="87"/>
    </row>
  </sheetData>
  <mergeCells count="4">
    <mergeCell ref="B6:B7"/>
    <mergeCell ref="C6:C7"/>
    <mergeCell ref="D6:D7"/>
    <mergeCell ref="E6:E7"/>
  </mergeCells>
  <hyperlinks>
    <hyperlink ref="A1" location="Index!A1" display="Index" xr:uid="{BC5D8A49-D562-094F-AF0A-226A58BC12C7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showGridLines="0" zoomScale="85" zoomScaleNormal="85" zoomScalePageLayoutView="90" workbookViewId="0"/>
  </sheetViews>
  <sheetFormatPr baseColWidth="10" defaultColWidth="8.83203125" defaultRowHeight="11" x14ac:dyDescent="0.15"/>
  <cols>
    <col min="1" max="1" width="2.1640625" style="22" customWidth="1"/>
    <col min="2" max="2" width="17.6640625" style="22" customWidth="1"/>
    <col min="3" max="3" width="15" style="22" bestFit="1" customWidth="1"/>
    <col min="4" max="4" width="15" style="22" customWidth="1"/>
    <col min="5" max="5" width="16.83203125" style="22" bestFit="1" customWidth="1"/>
    <col min="6" max="6" width="2.33203125" style="22" customWidth="1"/>
    <col min="7" max="7" width="41.6640625" style="22" bestFit="1" customWidth="1"/>
    <col min="8" max="13" width="8.83203125" style="22"/>
    <col min="14" max="14" width="8.83203125" style="6"/>
    <col min="15" max="16384" width="8.83203125" style="22"/>
  </cols>
  <sheetData>
    <row r="1" spans="1:13" s="168" customFormat="1" x14ac:dyDescent="0.15">
      <c r="A1" s="167" t="s">
        <v>101</v>
      </c>
    </row>
    <row r="2" spans="1:13" s="168" customFormat="1" x14ac:dyDescent="0.15">
      <c r="A2" s="168" t="str">
        <f>Cover!$B$7</f>
        <v>Regression analysis and valuation</v>
      </c>
    </row>
    <row r="3" spans="1:13" s="170" customFormat="1" ht="16" x14ac:dyDescent="0.2">
      <c r="A3" s="169" t="str">
        <f ca="1">MID(CELL("filename",A1),FIND("]",CELL("filename",A1))+1,255)</f>
        <v>Regression</v>
      </c>
    </row>
    <row r="4" spans="1:13" s="1" customFormat="1" x14ac:dyDescent="0.15">
      <c r="E4" s="2"/>
    </row>
    <row r="5" spans="1:13" s="4" customFormat="1" ht="19.5" customHeight="1" x14ac:dyDescent="0.15">
      <c r="B5" s="100" t="str">
        <f>"Regression analysis - "&amp;Input!$C$7</f>
        <v>Regression analysis - Name</v>
      </c>
      <c r="C5" s="10"/>
      <c r="D5" s="100"/>
    </row>
    <row r="6" spans="1:13" s="13" customFormat="1" ht="24" collapsed="1" x14ac:dyDescent="0.15">
      <c r="B6" s="21" t="str">
        <f>C6&amp;" vs. "&amp;D6</f>
        <v>LTM EV/Revenue vs. LTM Revenue growth</v>
      </c>
      <c r="C6" s="14" t="str">
        <f>Input!$C$11</f>
        <v>LTM EV/Revenue</v>
      </c>
      <c r="D6" s="16" t="str">
        <f>Input!$C$13</f>
        <v>LTM Revenue growth</v>
      </c>
      <c r="G6" s="19"/>
      <c r="I6" s="4"/>
      <c r="J6" s="4"/>
      <c r="K6" s="4"/>
      <c r="L6" s="4"/>
      <c r="M6" s="4"/>
    </row>
    <row r="7" spans="1:13" s="4" customFormat="1" x14ac:dyDescent="0.15">
      <c r="B7" s="15">
        <f>Peers!B8</f>
        <v>1</v>
      </c>
      <c r="C7" s="84">
        <f>INDEX(Peers!$B$7:$BP$17,MATCH($B7,Peers!$B$7:$B$17,0),MATCH(C$6,Peers!$B$7:$BP$7,0))</f>
        <v>1.9801980198019802</v>
      </c>
      <c r="D7" s="28">
        <f>INDEX(Peers!$B$7:$BP$22,MATCH($B7,Peers!$B$7:$B$22,0),MATCH(D$6,Peers!$B$7:$BP$7,0))</f>
        <v>1.0000000000000009E-2</v>
      </c>
    </row>
    <row r="8" spans="1:13" s="4" customFormat="1" x14ac:dyDescent="0.15">
      <c r="B8" s="23">
        <f>Peers!B9</f>
        <v>2</v>
      </c>
      <c r="C8" s="85">
        <f>INDEX(Peers!$B$7:$BP$22,MATCH($B8,Peers!$B$7:$B$22,0),MATCH(C$6,Peers!$B$7:$BP$7,0))</f>
        <v>2.0499108734402851</v>
      </c>
      <c r="D8" s="24">
        <f>INDEX(Peers!$B$7:$BP$22,MATCH($B8,Peers!$B$7:$B$22,0),MATCH(D$6,Peers!$B$7:$BP$7,0))</f>
        <v>2.0000000000000018E-2</v>
      </c>
    </row>
    <row r="9" spans="1:13" s="4" customFormat="1" x14ac:dyDescent="0.15">
      <c r="B9" s="23">
        <f>Peers!B10</f>
        <v>3</v>
      </c>
      <c r="C9" s="85">
        <f>INDEX(Peers!$B$7:$BP$22,MATCH($B9,Peers!$B$7:$B$22,0),MATCH(C$6,Peers!$B$7:$BP$7,0))</f>
        <v>2.1359223300970873</v>
      </c>
      <c r="D9" s="24">
        <f>INDEX(Peers!$B$7:$BP$22,MATCH($B9,Peers!$B$7:$B$22,0),MATCH(D$6,Peers!$B$7:$BP$7,0))</f>
        <v>3.0000000000000027E-2</v>
      </c>
    </row>
    <row r="10" spans="1:13" s="4" customFormat="1" x14ac:dyDescent="0.15">
      <c r="B10" s="23">
        <f>Peers!B11</f>
        <v>4</v>
      </c>
      <c r="C10" s="85">
        <f>INDEX(Peers!$B$7:$BP$22,MATCH($B10,Peers!$B$7:$B$22,0),MATCH(C$6,Peers!$B$7:$BP$7,0))</f>
        <v>2.2435897435897436</v>
      </c>
      <c r="D10" s="24">
        <f>INDEX(Peers!$B$7:$BP$22,MATCH($B10,Peers!$B$7:$B$22,0),MATCH(D$6,Peers!$B$7:$BP$7,0))</f>
        <v>4.0000000000000036E-2</v>
      </c>
    </row>
    <row r="11" spans="1:13" s="4" customFormat="1" x14ac:dyDescent="0.15">
      <c r="B11" s="23">
        <f>Peers!B12</f>
        <v>5</v>
      </c>
      <c r="C11" s="85">
        <f>INDEX(Peers!$B$7:$BP$22,MATCH($B11,Peers!$B$7:$B$22,0),MATCH(C$6,Peers!$B$7:$BP$7,0))</f>
        <v>2.3809523809523809</v>
      </c>
      <c r="D11" s="24">
        <f>INDEX(Peers!$B$7:$BP$22,MATCH($B11,Peers!$B$7:$B$22,0),MATCH(D$6,Peers!$B$7:$BP$7,0))</f>
        <v>5.0000000000000044E-2</v>
      </c>
    </row>
    <row r="12" spans="1:13" s="4" customFormat="1" x14ac:dyDescent="0.15">
      <c r="A12" s="5"/>
      <c r="B12" s="23">
        <f>Peers!B13</f>
        <v>6</v>
      </c>
      <c r="C12" s="85">
        <f>INDEX(Peers!$B$7:$BP$22,MATCH($B12,Peers!$B$7:$B$22,0),MATCH(C$6,Peers!$B$7:$BP$7,0))</f>
        <v>2.5606469002695418</v>
      </c>
      <c r="D12" s="24">
        <f>INDEX(Peers!$B$7:$BP$22,MATCH($B12,Peers!$B$7:$B$22,0),MATCH(D$6,Peers!$B$7:$BP$7,0))</f>
        <v>6.0000000000000053E-2</v>
      </c>
    </row>
    <row r="13" spans="1:13" s="4" customFormat="1" x14ac:dyDescent="0.15">
      <c r="A13" s="5"/>
      <c r="B13" s="23">
        <f>Peers!B14</f>
        <v>7</v>
      </c>
      <c r="C13" s="85">
        <f>INDEX(Peers!$B$7:$BP$22,MATCH($B13,Peers!$B$7:$B$22,0),MATCH(C$6,Peers!$B$7:$BP$7,0))</f>
        <v>2.8037383177570092</v>
      </c>
      <c r="D13" s="24">
        <f>INDEX(Peers!$B$7:$BP$22,MATCH($B13,Peers!$B$7:$B$22,0),MATCH(D$6,Peers!$B$7:$BP$7,0))</f>
        <v>7.0000000000000062E-2</v>
      </c>
    </row>
    <row r="14" spans="1:13" s="4" customFormat="1" x14ac:dyDescent="0.15">
      <c r="A14" s="5"/>
      <c r="B14" s="23">
        <f>Peers!B15</f>
        <v>8</v>
      </c>
      <c r="C14" s="85">
        <f>INDEX(Peers!$B$7:$BP$22,MATCH($B14,Peers!$B$7:$B$22,0),MATCH(C$6,Peers!$B$7:$BP$7,0))</f>
        <v>3.0270655270655271</v>
      </c>
      <c r="D14" s="24">
        <f>INDEX(Peers!$B$7:$BP$22,MATCH($B14,Peers!$B$7:$B$22,0),MATCH(D$6,Peers!$B$7:$BP$7,0))</f>
        <v>8.0000000000000071E-2</v>
      </c>
    </row>
    <row r="15" spans="1:13" s="4" customFormat="1" x14ac:dyDescent="0.15">
      <c r="A15" s="5"/>
      <c r="B15" s="23">
        <f>Peers!B16</f>
        <v>9</v>
      </c>
      <c r="C15" s="85">
        <f>INDEX(Peers!$B$7:$BP$22,MATCH($B15,Peers!$B$7:$B$22,0),MATCH(C$6,Peers!$B$7:$BP$7,0))</f>
        <v>3.0581039755351678</v>
      </c>
      <c r="D15" s="24">
        <f>INDEX(Peers!$B$7:$BP$22,MATCH($B15,Peers!$B$7:$B$22,0),MATCH(D$6,Peers!$B$7:$BP$7,0))</f>
        <v>9.000000000000008E-2</v>
      </c>
    </row>
    <row r="16" spans="1:13" s="4" customFormat="1" x14ac:dyDescent="0.15">
      <c r="A16" s="5"/>
      <c r="B16" s="23">
        <f>Peers!B17</f>
        <v>10</v>
      </c>
      <c r="C16" s="46">
        <f>INDEX(Peers!$B$7:$BP$22,MATCH($B16,Peers!$B$7:$B$22,0),MATCH(C$6,Peers!$B$7:$BP$7,0))</f>
        <v>3.2467532467532463</v>
      </c>
      <c r="D16" s="24">
        <f>INDEX(Peers!$B$7:$BP$22,MATCH($B16,Peers!$B$7:$B$22,0),MATCH(D$6,Peers!$B$7:$BP$7,0))</f>
        <v>0.10000000000000009</v>
      </c>
    </row>
    <row r="17" spans="1:4" s="4" customFormat="1" ht="12" thickBot="1" x14ac:dyDescent="0.2">
      <c r="A17" s="5"/>
      <c r="B17" s="152" t="str">
        <f>Input!$C$7</f>
        <v>Name</v>
      </c>
      <c r="C17" s="154">
        <f>Valuation!$D$8</f>
        <v>3.3943266157754364</v>
      </c>
      <c r="D17" s="153">
        <f>Valuation!$D$7</f>
        <v>0.11</v>
      </c>
    </row>
    <row r="19" spans="1:4" ht="19" customHeight="1" x14ac:dyDescent="0.15">
      <c r="B19" s="100" t="s">
        <v>98</v>
      </c>
      <c r="C19" s="10"/>
    </row>
    <row r="20" spans="1:4" x14ac:dyDescent="0.15">
      <c r="B20" s="21"/>
      <c r="C20" s="16"/>
      <c r="D20" s="102"/>
    </row>
    <row r="21" spans="1:4" x14ac:dyDescent="0.15">
      <c r="B21" s="40" t="s">
        <v>55</v>
      </c>
      <c r="C21" s="93" t="str">
        <f>Input!$C$19</f>
        <v>Enterprise Value</v>
      </c>
      <c r="D21" s="41"/>
    </row>
    <row r="22" spans="1:4" x14ac:dyDescent="0.15">
      <c r="B22" s="40" t="s">
        <v>44</v>
      </c>
      <c r="C22" s="93" t="str">
        <f>Input!$C$13</f>
        <v>LTM Revenue growth</v>
      </c>
      <c r="D22" s="41"/>
    </row>
    <row r="23" spans="1:4" x14ac:dyDescent="0.15">
      <c r="B23" s="40" t="s">
        <v>53</v>
      </c>
      <c r="C23" s="91">
        <f>INTERCEPT(D7:D16,C7:C16)</f>
        <v>-0.11076569047515752</v>
      </c>
      <c r="D23" s="103"/>
    </row>
    <row r="24" spans="1:4" x14ac:dyDescent="0.15">
      <c r="B24" s="40" t="s">
        <v>52</v>
      </c>
      <c r="C24" s="92">
        <f>SLOPE(D7:D16,C7:C16)</f>
        <v>6.503961329152276E-2</v>
      </c>
      <c r="D24" s="104"/>
    </row>
    <row r="25" spans="1:4" ht="12" thickBot="1" x14ac:dyDescent="0.2">
      <c r="B25" s="49" t="s">
        <v>54</v>
      </c>
      <c r="C25" s="94">
        <f>RSQ(D7:D16,C7:C16)</f>
        <v>0.97646947426080277</v>
      </c>
      <c r="D25" s="104"/>
    </row>
    <row r="27" spans="1:4" ht="19" customHeight="1" x14ac:dyDescent="0.15"/>
    <row r="40" spans="5:8" s="4" customFormat="1" x14ac:dyDescent="0.15">
      <c r="E40" s="22"/>
      <c r="F40" s="22"/>
      <c r="G40" s="22"/>
      <c r="H40" s="22"/>
    </row>
  </sheetData>
  <hyperlinks>
    <hyperlink ref="A1" location="Index!A1" display="Index" xr:uid="{EA77E5ED-D88C-1A48-AA0A-AFD2313D3365}"/>
  </hyperlink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"/>
  <sheetViews>
    <sheetView showGridLines="0" zoomScale="85" zoomScaleNormal="85" zoomScalePageLayoutView="90" workbookViewId="0"/>
  </sheetViews>
  <sheetFormatPr baseColWidth="10" defaultColWidth="8.83203125" defaultRowHeight="11" x14ac:dyDescent="0.15"/>
  <cols>
    <col min="1" max="1" width="2.1640625" style="22" customWidth="1"/>
    <col min="2" max="2" width="32.83203125" style="22" bestFit="1" customWidth="1"/>
    <col min="3" max="3" width="11.5" style="22" bestFit="1" customWidth="1"/>
    <col min="4" max="4" width="11.33203125" style="22" customWidth="1"/>
    <col min="5" max="5" width="9" style="22" bestFit="1" customWidth="1"/>
    <col min="6" max="6" width="2.33203125" style="22" customWidth="1"/>
    <col min="7" max="7" width="41.6640625" style="22" bestFit="1" customWidth="1"/>
    <col min="8" max="8" width="2.5" style="22" customWidth="1"/>
    <col min="9" max="9" width="10.83203125" style="22" bestFit="1" customWidth="1"/>
    <col min="10" max="16384" width="8.83203125" style="22"/>
  </cols>
  <sheetData>
    <row r="1" spans="1:13" s="168" customFormat="1" x14ac:dyDescent="0.15">
      <c r="A1" s="167" t="s">
        <v>101</v>
      </c>
    </row>
    <row r="2" spans="1:13" s="168" customFormat="1" x14ac:dyDescent="0.15">
      <c r="A2" s="168" t="str">
        <f>Cover!$B$7</f>
        <v>Regression analysis and valuation</v>
      </c>
    </row>
    <row r="3" spans="1:13" s="170" customFormat="1" ht="16" x14ac:dyDescent="0.2">
      <c r="A3" s="169" t="str">
        <f ca="1">MID(CELL("filename",A1),FIND("]",CELL("filename",A1))+1,255)</f>
        <v>Valuation</v>
      </c>
    </row>
    <row r="4" spans="1:13" s="1" customFormat="1" x14ac:dyDescent="0.15">
      <c r="E4" s="2"/>
    </row>
    <row r="5" spans="1:13" s="4" customFormat="1" ht="19.5" customHeight="1" x14ac:dyDescent="0.15">
      <c r="B5" s="100" t="str">
        <f>"Regression analysis valuation - "&amp;Input!$C$7</f>
        <v>Regression analysis valuation - Name</v>
      </c>
      <c r="C5" s="10"/>
      <c r="D5" s="101"/>
      <c r="E5" s="101"/>
      <c r="F5" s="22"/>
      <c r="G5" s="8" t="s">
        <v>20</v>
      </c>
    </row>
    <row r="6" spans="1:13" s="13" customFormat="1" collapsed="1" x14ac:dyDescent="0.15">
      <c r="B6" s="95" t="str">
        <f>Input!$C$9</f>
        <v>USDm</v>
      </c>
      <c r="C6" s="107" t="s">
        <v>10</v>
      </c>
      <c r="D6" s="113" t="s">
        <v>19</v>
      </c>
      <c r="E6" s="108" t="s">
        <v>11</v>
      </c>
      <c r="F6" s="22"/>
      <c r="G6" s="22"/>
      <c r="I6" s="4"/>
      <c r="J6" s="4"/>
      <c r="K6" s="4"/>
      <c r="L6" s="4"/>
      <c r="M6" s="4"/>
    </row>
    <row r="7" spans="1:13" s="4" customFormat="1" x14ac:dyDescent="0.15">
      <c r="B7" s="90" t="str">
        <f>Input!$C$13</f>
        <v>LTM Revenue growth</v>
      </c>
      <c r="C7" s="111">
        <f>D7</f>
        <v>0.11</v>
      </c>
      <c r="D7" s="109">
        <v>0.11</v>
      </c>
      <c r="E7" s="112">
        <f>D7</f>
        <v>0.11</v>
      </c>
      <c r="F7" s="22"/>
      <c r="G7" s="96" t="s">
        <v>59</v>
      </c>
    </row>
    <row r="8" spans="1:13" s="4" customFormat="1" x14ac:dyDescent="0.15">
      <c r="B8" s="40" t="str">
        <f>"Implied "&amp;Regression!$C$6&amp;" multiple"</f>
        <v>Implied LTM EV/Revenue multiple</v>
      </c>
      <c r="C8" s="105">
        <f>D8*(1-Input!$C$15)</f>
        <v>3.2246102849866642</v>
      </c>
      <c r="D8" s="105">
        <f>(D7-Regression!C23)/Regression!C24</f>
        <v>3.3943266157754364</v>
      </c>
      <c r="E8" s="98">
        <f>D8*(1+Input!$C$15)</f>
        <v>3.5640429465642085</v>
      </c>
      <c r="F8" s="22"/>
      <c r="G8" s="22"/>
    </row>
    <row r="9" spans="1:13" s="4" customFormat="1" x14ac:dyDescent="0.15">
      <c r="B9" s="40" t="str">
        <f>Input!$C$17</f>
        <v>LTM Revenue</v>
      </c>
      <c r="C9" s="114">
        <f>D9</f>
        <v>230</v>
      </c>
      <c r="D9" s="106">
        <v>230</v>
      </c>
      <c r="E9" s="115">
        <f>D9</f>
        <v>230</v>
      </c>
      <c r="F9" s="22"/>
      <c r="G9" s="96" t="s">
        <v>59</v>
      </c>
    </row>
    <row r="10" spans="1:13" s="4" customFormat="1" ht="12" thickBot="1" x14ac:dyDescent="0.2">
      <c r="A10" s="5"/>
      <c r="B10" s="97" t="str">
        <f>Input!$C$19</f>
        <v>Enterprise Value</v>
      </c>
      <c r="C10" s="110">
        <f>C8*C9</f>
        <v>741.66036554693278</v>
      </c>
      <c r="D10" s="110">
        <f>D8*D9</f>
        <v>780.69512162835042</v>
      </c>
      <c r="E10" s="99">
        <f>E8*E9</f>
        <v>819.72987770976795</v>
      </c>
      <c r="F10" s="22"/>
      <c r="G10" s="22"/>
    </row>
  </sheetData>
  <hyperlinks>
    <hyperlink ref="A1" location="Index!A1" display="Index" xr:uid="{21B7509A-FF34-CD42-AD7A-EE57B094C99A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Index</vt:lpstr>
      <vt:lpstr>Input</vt:lpstr>
      <vt:lpstr>Peers</vt:lpstr>
      <vt:lpstr>Regression</vt:lpstr>
      <vt:lpstr>Valuation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2021-03-07T15:41:39Z</dcterms:created>
  <dcterms:modified xsi:type="dcterms:W3CDTF">2021-04-06T10:41:08Z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0x010100B1C71893300AAB418A35768AE828B8EE</vt:lpwstr>
  </property>
</Properties>
</file>